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585" yWindow="6585" windowWidth="9570" windowHeight="6600"/>
  </bookViews>
  <sheets>
    <sheet name="Sudoku" sheetId="1" r:id="rId1"/>
    <sheet name="Pruefung" sheetId="2" r:id="rId2"/>
    <sheet name="Anleitung" sheetId="3" r:id="rId3"/>
    <sheet name="Tipps zum Selberlösen" sheetId="4" r:id="rId4"/>
  </sheets>
  <definedNames>
    <definedName name="_col1">Sudoku!$C$4:$C$12</definedName>
    <definedName name="_col2">Sudoku!$D$4:$D$12</definedName>
    <definedName name="_col3">Sudoku!$E$4:$E$12</definedName>
    <definedName name="_col4">Sudoku!$F$4:$F$12</definedName>
    <definedName name="_col5">Sudoku!$G$4:$G$12</definedName>
    <definedName name="_col6">Sudoku!$H$4:$H$12</definedName>
    <definedName name="_col7">Sudoku!$I$4:$I$12</definedName>
    <definedName name="_col8">Sudoku!$J$4:$J$12</definedName>
    <definedName name="_col9">Sudoku!$K$4:$K$12</definedName>
    <definedName name="_row1">Sudoku!$C$4:$K$4</definedName>
    <definedName name="_row2">Sudoku!$C$5:$K$5</definedName>
    <definedName name="_row3">Sudoku!$C$6:$K$6</definedName>
    <definedName name="_row4">Sudoku!$C$7:$K$7</definedName>
    <definedName name="_row5">Sudoku!$C$8:$K$8</definedName>
    <definedName name="_row6">Sudoku!$C$9:$K$9</definedName>
    <definedName name="_row7">Sudoku!$C$10:$K$10</definedName>
    <definedName name="_row8">Sudoku!$C$11:$K$11</definedName>
    <definedName name="_row9">Sudoku!$C$12:$K$12</definedName>
    <definedName name="_sq11">Sudoku!$C$4:$E$6</definedName>
    <definedName name="_sq12">Sudoku!$F$4:$H$6</definedName>
    <definedName name="_sq13">Sudoku!$I$4:$K$6</definedName>
    <definedName name="_sq21">Sudoku!$C$7:$E$9</definedName>
    <definedName name="_sq22">Sudoku!$F$7:$H$9</definedName>
    <definedName name="_sq23">Sudoku!$I$7:$K$9</definedName>
    <definedName name="_sq31">Sudoku!$C$10:$E$12</definedName>
    <definedName name="_sq32">Sudoku!$F$10:$H$12</definedName>
    <definedName name="_sq33">Sudoku!$I$10:$K$12</definedName>
    <definedName name="block">Sudoku!#REF!</definedName>
    <definedName name="eight">Sudoku!$O$40</definedName>
    <definedName name="five">Sudoku!$O$28</definedName>
    <definedName name="four">Sudoku!$C$28</definedName>
    <definedName name="nine">Sudoku!$AA$40</definedName>
    <definedName name="numbers">Pruefung!$B$4:$B$12</definedName>
    <definedName name="one">Sudoku!$C$16</definedName>
    <definedName name="seven">Sudoku!$C$40</definedName>
    <definedName name="six">Sudoku!$AA$28</definedName>
    <definedName name="solution">Sudoku!$C$4:$K$12</definedName>
    <definedName name="three">Sudoku!$AA$16</definedName>
    <definedName name="two">Sudoku!$O$16</definedName>
  </definedNames>
  <calcPr calcId="145621"/>
</workbook>
</file>

<file path=xl/calcChain.xml><?xml version="1.0" encoding="utf-8"?>
<calcChain xmlns="http://schemas.openxmlformats.org/spreadsheetml/2006/main">
  <c r="D17" i="1" l="1"/>
  <c r="D18" i="1"/>
  <c r="P18" i="1"/>
  <c r="AB18" i="1"/>
  <c r="D30" i="1"/>
  <c r="P30" i="1"/>
  <c r="AB30" i="1"/>
  <c r="D42" i="1"/>
  <c r="P42" i="1"/>
  <c r="AB42" i="1"/>
  <c r="AB5" i="1" s="1"/>
  <c r="P5" i="1" s="1"/>
  <c r="E18" i="1"/>
  <c r="Q18" i="1"/>
  <c r="AC18" i="1"/>
  <c r="E30" i="1"/>
  <c r="Q30" i="1"/>
  <c r="AC30" i="1"/>
  <c r="E42" i="1"/>
  <c r="Q42" i="1"/>
  <c r="AC42" i="1"/>
  <c r="F18" i="1"/>
  <c r="R18" i="1"/>
  <c r="AD18" i="1"/>
  <c r="F30" i="1"/>
  <c r="R30" i="1"/>
  <c r="AD30" i="1"/>
  <c r="F42" i="1"/>
  <c r="R42" i="1"/>
  <c r="AD42" i="1"/>
  <c r="AD5" i="1" s="1"/>
  <c r="R5" i="1" s="1"/>
  <c r="G18" i="1"/>
  <c r="S18" i="1"/>
  <c r="AE18" i="1"/>
  <c r="G30" i="1"/>
  <c r="S30" i="1"/>
  <c r="AE30" i="1"/>
  <c r="G42" i="1"/>
  <c r="S42" i="1"/>
  <c r="AE42" i="1"/>
  <c r="H18" i="1"/>
  <c r="T18" i="1"/>
  <c r="AF18" i="1"/>
  <c r="H30" i="1"/>
  <c r="T30" i="1"/>
  <c r="AF30" i="1"/>
  <c r="H42" i="1"/>
  <c r="T42" i="1"/>
  <c r="AF42" i="1"/>
  <c r="I18" i="1"/>
  <c r="U18" i="1"/>
  <c r="AG18" i="1"/>
  <c r="I30" i="1"/>
  <c r="U30" i="1"/>
  <c r="AG30" i="1"/>
  <c r="I42" i="1"/>
  <c r="U42" i="1"/>
  <c r="AG42" i="1"/>
  <c r="J18" i="1"/>
  <c r="V18" i="1"/>
  <c r="AH18" i="1"/>
  <c r="J30" i="1"/>
  <c r="V30" i="1"/>
  <c r="AH30" i="1"/>
  <c r="J42" i="1"/>
  <c r="V42" i="1"/>
  <c r="AH42" i="1"/>
  <c r="K18" i="1"/>
  <c r="W18" i="1"/>
  <c r="AI18" i="1"/>
  <c r="K30" i="1"/>
  <c r="W30" i="1"/>
  <c r="AI30" i="1"/>
  <c r="K42" i="1"/>
  <c r="W42" i="1"/>
  <c r="AI42" i="1"/>
  <c r="L18" i="1"/>
  <c r="X18" i="1"/>
  <c r="AJ18" i="1"/>
  <c r="L30" i="1"/>
  <c r="X30" i="1"/>
  <c r="AJ30" i="1"/>
  <c r="L42" i="1"/>
  <c r="X42" i="1"/>
  <c r="AJ42" i="1"/>
  <c r="D19" i="1"/>
  <c r="P19" i="1"/>
  <c r="AB19" i="1"/>
  <c r="D31" i="1"/>
  <c r="P31" i="1"/>
  <c r="AB31" i="1"/>
  <c r="D43" i="1"/>
  <c r="P43" i="1"/>
  <c r="AB43" i="1"/>
  <c r="E19" i="1"/>
  <c r="Q19" i="1"/>
  <c r="AC19" i="1"/>
  <c r="E31" i="1"/>
  <c r="Q31" i="1"/>
  <c r="AC31" i="1"/>
  <c r="E43" i="1"/>
  <c r="Q43" i="1"/>
  <c r="AC43" i="1"/>
  <c r="F19" i="1"/>
  <c r="R19" i="1"/>
  <c r="AD19" i="1"/>
  <c r="F31" i="1"/>
  <c r="R31" i="1"/>
  <c r="AD31" i="1"/>
  <c r="F43" i="1"/>
  <c r="R43" i="1"/>
  <c r="AD43" i="1"/>
  <c r="G19" i="1"/>
  <c r="S19" i="1"/>
  <c r="AE19" i="1"/>
  <c r="G31" i="1"/>
  <c r="S31" i="1"/>
  <c r="AE31" i="1"/>
  <c r="G43" i="1"/>
  <c r="S43" i="1"/>
  <c r="AE43" i="1"/>
  <c r="H19" i="1"/>
  <c r="T19" i="1"/>
  <c r="AF19" i="1"/>
  <c r="H31" i="1"/>
  <c r="T31" i="1"/>
  <c r="AF31" i="1"/>
  <c r="H43" i="1"/>
  <c r="T43" i="1"/>
  <c r="AF43" i="1"/>
  <c r="I19" i="1"/>
  <c r="U19" i="1"/>
  <c r="AG19" i="1"/>
  <c r="I31" i="1"/>
  <c r="U31" i="1"/>
  <c r="AG31" i="1"/>
  <c r="I43" i="1"/>
  <c r="U43" i="1"/>
  <c r="AG43" i="1"/>
  <c r="J19" i="1"/>
  <c r="V19" i="1"/>
  <c r="AH19" i="1"/>
  <c r="J31" i="1"/>
  <c r="V31" i="1"/>
  <c r="AH31" i="1"/>
  <c r="J43" i="1"/>
  <c r="V43" i="1"/>
  <c r="AH43" i="1"/>
  <c r="K19" i="1"/>
  <c r="W19" i="1"/>
  <c r="AI19" i="1"/>
  <c r="K31" i="1"/>
  <c r="W31" i="1"/>
  <c r="AI31" i="1"/>
  <c r="K43" i="1"/>
  <c r="W43" i="1"/>
  <c r="AI43" i="1"/>
  <c r="L19" i="1"/>
  <c r="X19" i="1"/>
  <c r="AJ19" i="1"/>
  <c r="L31" i="1"/>
  <c r="X31" i="1"/>
  <c r="AJ31" i="1"/>
  <c r="L43" i="1"/>
  <c r="X43" i="1"/>
  <c r="AJ43" i="1"/>
  <c r="D20" i="1"/>
  <c r="P20" i="1"/>
  <c r="AB20" i="1"/>
  <c r="D32" i="1"/>
  <c r="P32" i="1"/>
  <c r="AB32" i="1"/>
  <c r="D44" i="1"/>
  <c r="P44" i="1"/>
  <c r="AB44" i="1"/>
  <c r="E20" i="1"/>
  <c r="Q20" i="1"/>
  <c r="AC20" i="1"/>
  <c r="E32" i="1"/>
  <c r="Q32" i="1"/>
  <c r="AC32" i="1"/>
  <c r="E44" i="1"/>
  <c r="Q44" i="1"/>
  <c r="AC44" i="1"/>
  <c r="F20" i="1"/>
  <c r="R20" i="1"/>
  <c r="AD20" i="1"/>
  <c r="F32" i="1"/>
  <c r="R32" i="1"/>
  <c r="AD32" i="1"/>
  <c r="F44" i="1"/>
  <c r="R44" i="1"/>
  <c r="AD44" i="1"/>
  <c r="G20" i="1"/>
  <c r="S20" i="1"/>
  <c r="AE20" i="1"/>
  <c r="G32" i="1"/>
  <c r="S32" i="1"/>
  <c r="AE32" i="1"/>
  <c r="G44" i="1"/>
  <c r="S44" i="1"/>
  <c r="AE44" i="1"/>
  <c r="H20" i="1"/>
  <c r="T20" i="1"/>
  <c r="AF20" i="1"/>
  <c r="H32" i="1"/>
  <c r="T32" i="1"/>
  <c r="AF32" i="1"/>
  <c r="H44" i="1"/>
  <c r="T44" i="1"/>
  <c r="AF44" i="1"/>
  <c r="I20" i="1"/>
  <c r="U20" i="1"/>
  <c r="AG20" i="1"/>
  <c r="I32" i="1"/>
  <c r="U32" i="1"/>
  <c r="AG32" i="1"/>
  <c r="I44" i="1"/>
  <c r="U44" i="1"/>
  <c r="AG44" i="1"/>
  <c r="J20" i="1"/>
  <c r="V20" i="1"/>
  <c r="AH20" i="1"/>
  <c r="J32" i="1"/>
  <c r="V32" i="1"/>
  <c r="AH32" i="1"/>
  <c r="J44" i="1"/>
  <c r="V44" i="1"/>
  <c r="AH44" i="1"/>
  <c r="K20" i="1"/>
  <c r="W20" i="1"/>
  <c r="AI20" i="1"/>
  <c r="K32" i="1"/>
  <c r="W32" i="1"/>
  <c r="AI32" i="1"/>
  <c r="K44" i="1"/>
  <c r="W44" i="1"/>
  <c r="AI44" i="1"/>
  <c r="L20" i="1"/>
  <c r="X20" i="1"/>
  <c r="AJ20" i="1"/>
  <c r="L32" i="1"/>
  <c r="X32" i="1"/>
  <c r="AJ32" i="1"/>
  <c r="L44" i="1"/>
  <c r="X44" i="1"/>
  <c r="AJ44" i="1"/>
  <c r="D21" i="1"/>
  <c r="P21" i="1"/>
  <c r="AB21" i="1"/>
  <c r="D33" i="1"/>
  <c r="P33" i="1"/>
  <c r="AB33" i="1"/>
  <c r="D45" i="1"/>
  <c r="P45" i="1"/>
  <c r="AB45" i="1"/>
  <c r="E21" i="1"/>
  <c r="Q21" i="1"/>
  <c r="AC21" i="1"/>
  <c r="E33" i="1"/>
  <c r="Q33" i="1"/>
  <c r="AC33" i="1"/>
  <c r="E45" i="1"/>
  <c r="Q45" i="1"/>
  <c r="AC45" i="1"/>
  <c r="F21" i="1"/>
  <c r="R21" i="1"/>
  <c r="AD21" i="1"/>
  <c r="F33" i="1"/>
  <c r="R33" i="1"/>
  <c r="AD33" i="1"/>
  <c r="F45" i="1"/>
  <c r="R45" i="1"/>
  <c r="AD45" i="1"/>
  <c r="G21" i="1"/>
  <c r="S21" i="1"/>
  <c r="AE21" i="1"/>
  <c r="G33" i="1"/>
  <c r="S33" i="1"/>
  <c r="AE33" i="1"/>
  <c r="G45" i="1"/>
  <c r="S45" i="1"/>
  <c r="AE45" i="1"/>
  <c r="H21" i="1"/>
  <c r="T21" i="1"/>
  <c r="AF21" i="1"/>
  <c r="H33" i="1"/>
  <c r="T33" i="1"/>
  <c r="AF33" i="1"/>
  <c r="H45" i="1"/>
  <c r="T45" i="1"/>
  <c r="AF45" i="1"/>
  <c r="I21" i="1"/>
  <c r="U21" i="1"/>
  <c r="AG21" i="1"/>
  <c r="I33" i="1"/>
  <c r="U33" i="1"/>
  <c r="AG33" i="1"/>
  <c r="I45" i="1"/>
  <c r="U45" i="1"/>
  <c r="AG45" i="1"/>
  <c r="J21" i="1"/>
  <c r="V21" i="1"/>
  <c r="AH21" i="1"/>
  <c r="J33" i="1"/>
  <c r="V33" i="1"/>
  <c r="AH33" i="1"/>
  <c r="J45" i="1"/>
  <c r="V45" i="1"/>
  <c r="AH45" i="1"/>
  <c r="K21" i="1"/>
  <c r="W21" i="1"/>
  <c r="AI21" i="1"/>
  <c r="K33" i="1"/>
  <c r="W33" i="1"/>
  <c r="AI33" i="1"/>
  <c r="K45" i="1"/>
  <c r="W45" i="1"/>
  <c r="AI45" i="1"/>
  <c r="L21" i="1"/>
  <c r="X21" i="1"/>
  <c r="AJ21" i="1"/>
  <c r="L33" i="1"/>
  <c r="X33" i="1"/>
  <c r="AJ33" i="1"/>
  <c r="L45" i="1"/>
  <c r="X45" i="1"/>
  <c r="AJ45" i="1"/>
  <c r="D22" i="1"/>
  <c r="P22" i="1"/>
  <c r="AB22" i="1"/>
  <c r="D34" i="1"/>
  <c r="P34" i="1"/>
  <c r="AB34" i="1"/>
  <c r="D46" i="1"/>
  <c r="P46" i="1"/>
  <c r="AB46" i="1"/>
  <c r="E22" i="1"/>
  <c r="Q22" i="1"/>
  <c r="AC22" i="1"/>
  <c r="E34" i="1"/>
  <c r="Q34" i="1"/>
  <c r="AC34" i="1"/>
  <c r="E46" i="1"/>
  <c r="Q46" i="1"/>
  <c r="AC46" i="1"/>
  <c r="F22" i="1"/>
  <c r="R22" i="1"/>
  <c r="AD22" i="1"/>
  <c r="F34" i="1"/>
  <c r="R34" i="1"/>
  <c r="AD34" i="1"/>
  <c r="F46" i="1"/>
  <c r="R46" i="1"/>
  <c r="AD46" i="1"/>
  <c r="G22" i="1"/>
  <c r="S22" i="1"/>
  <c r="AE22" i="1"/>
  <c r="G34" i="1"/>
  <c r="S34" i="1"/>
  <c r="AE34" i="1"/>
  <c r="G46" i="1"/>
  <c r="S46" i="1"/>
  <c r="AE46" i="1"/>
  <c r="H22" i="1"/>
  <c r="T22" i="1"/>
  <c r="AF22" i="1"/>
  <c r="H34" i="1"/>
  <c r="T34" i="1"/>
  <c r="AF34" i="1"/>
  <c r="H46" i="1"/>
  <c r="T46" i="1"/>
  <c r="AF46" i="1"/>
  <c r="I22" i="1"/>
  <c r="U22" i="1"/>
  <c r="AG22" i="1"/>
  <c r="I34" i="1"/>
  <c r="U34" i="1"/>
  <c r="AG34" i="1"/>
  <c r="I46" i="1"/>
  <c r="U46" i="1"/>
  <c r="AG46" i="1"/>
  <c r="J22" i="1"/>
  <c r="V22" i="1"/>
  <c r="AH22" i="1"/>
  <c r="J34" i="1"/>
  <c r="V34" i="1"/>
  <c r="AH34" i="1"/>
  <c r="J46" i="1"/>
  <c r="V46" i="1"/>
  <c r="AH46" i="1"/>
  <c r="K22" i="1"/>
  <c r="W22" i="1"/>
  <c r="AI22" i="1"/>
  <c r="K34" i="1"/>
  <c r="W34" i="1"/>
  <c r="AI34" i="1"/>
  <c r="K46" i="1"/>
  <c r="W46" i="1"/>
  <c r="AI46" i="1"/>
  <c r="L22" i="1"/>
  <c r="X22" i="1"/>
  <c r="AJ22" i="1"/>
  <c r="L34" i="1"/>
  <c r="X34" i="1"/>
  <c r="AJ34" i="1"/>
  <c r="L46" i="1"/>
  <c r="X46" i="1"/>
  <c r="AJ46" i="1"/>
  <c r="D23" i="1"/>
  <c r="P23" i="1"/>
  <c r="AB23" i="1"/>
  <c r="D35" i="1"/>
  <c r="P35" i="1"/>
  <c r="AB35" i="1"/>
  <c r="D47" i="1"/>
  <c r="P47" i="1"/>
  <c r="AB47" i="1"/>
  <c r="E23" i="1"/>
  <c r="Q23" i="1"/>
  <c r="AC23" i="1"/>
  <c r="E35" i="1"/>
  <c r="Q35" i="1"/>
  <c r="AC35" i="1"/>
  <c r="E47" i="1"/>
  <c r="Q47" i="1"/>
  <c r="AC47" i="1"/>
  <c r="F23" i="1"/>
  <c r="R23" i="1"/>
  <c r="AD23" i="1"/>
  <c r="F35" i="1"/>
  <c r="R35" i="1"/>
  <c r="AD35" i="1"/>
  <c r="F47" i="1"/>
  <c r="R47" i="1"/>
  <c r="AD47" i="1"/>
  <c r="G23" i="1"/>
  <c r="S23" i="1"/>
  <c r="AE23" i="1"/>
  <c r="G35" i="1"/>
  <c r="S35" i="1"/>
  <c r="AE35" i="1"/>
  <c r="G47" i="1"/>
  <c r="S47" i="1"/>
  <c r="AE47" i="1"/>
  <c r="H23" i="1"/>
  <c r="T23" i="1"/>
  <c r="AF23" i="1"/>
  <c r="H35" i="1"/>
  <c r="T35" i="1"/>
  <c r="AF35" i="1"/>
  <c r="H47" i="1"/>
  <c r="T47" i="1"/>
  <c r="AF47" i="1"/>
  <c r="I23" i="1"/>
  <c r="U23" i="1"/>
  <c r="AG23" i="1"/>
  <c r="I35" i="1"/>
  <c r="U35" i="1"/>
  <c r="AG35" i="1"/>
  <c r="I47" i="1"/>
  <c r="U47" i="1"/>
  <c r="AG47" i="1"/>
  <c r="J23" i="1"/>
  <c r="V23" i="1"/>
  <c r="AH23" i="1"/>
  <c r="J35" i="1"/>
  <c r="V35" i="1"/>
  <c r="AH35" i="1"/>
  <c r="J47" i="1"/>
  <c r="V47" i="1"/>
  <c r="AH47" i="1"/>
  <c r="K23" i="1"/>
  <c r="W23" i="1"/>
  <c r="AI23" i="1"/>
  <c r="K35" i="1"/>
  <c r="W35" i="1"/>
  <c r="AI35" i="1"/>
  <c r="K47" i="1"/>
  <c r="W47" i="1"/>
  <c r="AI47" i="1"/>
  <c r="L23" i="1"/>
  <c r="X23" i="1"/>
  <c r="AJ23" i="1"/>
  <c r="L35" i="1"/>
  <c r="X35" i="1"/>
  <c r="AJ35" i="1"/>
  <c r="L47" i="1"/>
  <c r="X47" i="1"/>
  <c r="AJ47" i="1"/>
  <c r="D24" i="1"/>
  <c r="P24" i="1"/>
  <c r="AB24" i="1"/>
  <c r="D36" i="1"/>
  <c r="P36" i="1"/>
  <c r="AB36" i="1"/>
  <c r="D48" i="1"/>
  <c r="P48" i="1"/>
  <c r="AB48" i="1"/>
  <c r="E24" i="1"/>
  <c r="Q24" i="1"/>
  <c r="AC24" i="1"/>
  <c r="E36" i="1"/>
  <c r="Q36" i="1"/>
  <c r="AC36" i="1"/>
  <c r="E48" i="1"/>
  <c r="Q48" i="1"/>
  <c r="AC48" i="1"/>
  <c r="F24" i="1"/>
  <c r="R24" i="1"/>
  <c r="AD24" i="1"/>
  <c r="F36" i="1"/>
  <c r="R36" i="1"/>
  <c r="AD36" i="1"/>
  <c r="F48" i="1"/>
  <c r="R48" i="1"/>
  <c r="AD48" i="1"/>
  <c r="G24" i="1"/>
  <c r="S24" i="1"/>
  <c r="AE24" i="1"/>
  <c r="G36" i="1"/>
  <c r="S36" i="1"/>
  <c r="AE36" i="1"/>
  <c r="G48" i="1"/>
  <c r="S48" i="1"/>
  <c r="AE48" i="1"/>
  <c r="H24" i="1"/>
  <c r="T24" i="1"/>
  <c r="AF24" i="1"/>
  <c r="H36" i="1"/>
  <c r="T36" i="1"/>
  <c r="AF36" i="1"/>
  <c r="H48" i="1"/>
  <c r="T48" i="1"/>
  <c r="AF48" i="1"/>
  <c r="I24" i="1"/>
  <c r="U24" i="1"/>
  <c r="AG24" i="1"/>
  <c r="I36" i="1"/>
  <c r="U36" i="1"/>
  <c r="AG36" i="1"/>
  <c r="I48" i="1"/>
  <c r="U48" i="1"/>
  <c r="AG48" i="1"/>
  <c r="J24" i="1"/>
  <c r="V24" i="1"/>
  <c r="AH24" i="1"/>
  <c r="J36" i="1"/>
  <c r="V36" i="1"/>
  <c r="AH36" i="1"/>
  <c r="J48" i="1"/>
  <c r="V48" i="1"/>
  <c r="AH48" i="1"/>
  <c r="K24" i="1"/>
  <c r="W24" i="1"/>
  <c r="AI24" i="1"/>
  <c r="K36" i="1"/>
  <c r="W36" i="1"/>
  <c r="AI36" i="1"/>
  <c r="K48" i="1"/>
  <c r="W48" i="1"/>
  <c r="AI48" i="1"/>
  <c r="L24" i="1"/>
  <c r="X24" i="1"/>
  <c r="AJ24" i="1"/>
  <c r="L36" i="1"/>
  <c r="X36" i="1"/>
  <c r="AJ36" i="1"/>
  <c r="L48" i="1"/>
  <c r="X48" i="1"/>
  <c r="AJ48" i="1"/>
  <c r="D25" i="1"/>
  <c r="P25" i="1"/>
  <c r="AB25" i="1"/>
  <c r="D37" i="1"/>
  <c r="P37" i="1"/>
  <c r="AB37" i="1"/>
  <c r="D49" i="1"/>
  <c r="P49" i="1"/>
  <c r="AB49" i="1"/>
  <c r="E25" i="1"/>
  <c r="Q25" i="1"/>
  <c r="AC25" i="1"/>
  <c r="E37" i="1"/>
  <c r="Q37" i="1"/>
  <c r="AC37" i="1"/>
  <c r="E49" i="1"/>
  <c r="Q49" i="1"/>
  <c r="AC49" i="1"/>
  <c r="F25" i="1"/>
  <c r="R25" i="1"/>
  <c r="AD25" i="1"/>
  <c r="F37" i="1"/>
  <c r="R37" i="1"/>
  <c r="AD37" i="1"/>
  <c r="F49" i="1"/>
  <c r="R49" i="1"/>
  <c r="AD49" i="1"/>
  <c r="G25" i="1"/>
  <c r="S25" i="1"/>
  <c r="AE25" i="1"/>
  <c r="G37" i="1"/>
  <c r="S37" i="1"/>
  <c r="AE37" i="1"/>
  <c r="G49" i="1"/>
  <c r="S49" i="1"/>
  <c r="AE49" i="1"/>
  <c r="H25" i="1"/>
  <c r="T25" i="1"/>
  <c r="AF25" i="1"/>
  <c r="H37" i="1"/>
  <c r="T37" i="1"/>
  <c r="AF37" i="1"/>
  <c r="H49" i="1"/>
  <c r="T49" i="1"/>
  <c r="AF49" i="1"/>
  <c r="I25" i="1"/>
  <c r="U25" i="1"/>
  <c r="AG25" i="1"/>
  <c r="I37" i="1"/>
  <c r="U37" i="1"/>
  <c r="AG37" i="1"/>
  <c r="I49" i="1"/>
  <c r="U49" i="1"/>
  <c r="AG49" i="1"/>
  <c r="J25" i="1"/>
  <c r="V25" i="1"/>
  <c r="AH25" i="1"/>
  <c r="J37" i="1"/>
  <c r="V37" i="1"/>
  <c r="AH37" i="1"/>
  <c r="J49" i="1"/>
  <c r="V49" i="1"/>
  <c r="AH49" i="1"/>
  <c r="K25" i="1"/>
  <c r="W25" i="1"/>
  <c r="AI25" i="1"/>
  <c r="K37" i="1"/>
  <c r="W37" i="1"/>
  <c r="AI37" i="1"/>
  <c r="K49" i="1"/>
  <c r="W49" i="1"/>
  <c r="AI49" i="1"/>
  <c r="L25" i="1"/>
  <c r="X25" i="1"/>
  <c r="AJ25" i="1"/>
  <c r="L37" i="1"/>
  <c r="X37" i="1"/>
  <c r="AJ37" i="1"/>
  <c r="L49" i="1"/>
  <c r="X49" i="1"/>
  <c r="AJ49" i="1"/>
  <c r="E17" i="1"/>
  <c r="Q17" i="1"/>
  <c r="AC17" i="1"/>
  <c r="E29" i="1"/>
  <c r="Q29" i="1"/>
  <c r="AC29" i="1"/>
  <c r="E41" i="1"/>
  <c r="Q41" i="1"/>
  <c r="AC41" i="1"/>
  <c r="F17" i="1"/>
  <c r="R17" i="1"/>
  <c r="AD17" i="1"/>
  <c r="F29" i="1"/>
  <c r="R29" i="1"/>
  <c r="AD29" i="1"/>
  <c r="F41" i="1"/>
  <c r="R41" i="1"/>
  <c r="AD41" i="1"/>
  <c r="G17" i="1"/>
  <c r="S17" i="1"/>
  <c r="AE17" i="1"/>
  <c r="G29" i="1"/>
  <c r="S29" i="1"/>
  <c r="AE29" i="1"/>
  <c r="G41" i="1"/>
  <c r="G50" i="1" s="1"/>
  <c r="S41" i="1"/>
  <c r="AE41" i="1"/>
  <c r="H17" i="1"/>
  <c r="T17" i="1"/>
  <c r="AF17" i="1"/>
  <c r="H29" i="1"/>
  <c r="T29" i="1"/>
  <c r="AF29" i="1"/>
  <c r="H41" i="1"/>
  <c r="T41" i="1"/>
  <c r="AF41" i="1"/>
  <c r="I17" i="1"/>
  <c r="U17" i="1"/>
  <c r="AG17" i="1"/>
  <c r="I29" i="1"/>
  <c r="U29" i="1"/>
  <c r="AG29" i="1"/>
  <c r="I41" i="1"/>
  <c r="U41" i="1"/>
  <c r="AG41" i="1"/>
  <c r="J17" i="1"/>
  <c r="V17" i="1"/>
  <c r="AH17" i="1"/>
  <c r="J29" i="1"/>
  <c r="V29" i="1"/>
  <c r="AH29" i="1"/>
  <c r="J41" i="1"/>
  <c r="V41" i="1"/>
  <c r="AH41" i="1"/>
  <c r="K17" i="1"/>
  <c r="W17" i="1"/>
  <c r="AI17" i="1"/>
  <c r="K29" i="1"/>
  <c r="W29" i="1"/>
  <c r="AI29" i="1"/>
  <c r="K41" i="1"/>
  <c r="W41" i="1"/>
  <c r="AI41" i="1"/>
  <c r="L17" i="1"/>
  <c r="X17" i="1"/>
  <c r="AJ17" i="1"/>
  <c r="L29" i="1"/>
  <c r="X29" i="1"/>
  <c r="X38" i="1" s="1"/>
  <c r="AJ29" i="1"/>
  <c r="L41" i="1"/>
  <c r="L50" i="1" s="1"/>
  <c r="X41" i="1"/>
  <c r="AJ41" i="1"/>
  <c r="AJ50" i="1" s="1"/>
  <c r="P17" i="1"/>
  <c r="AB17" i="1"/>
  <c r="D29" i="1"/>
  <c r="P29" i="1"/>
  <c r="AB29" i="1"/>
  <c r="D41" i="1"/>
  <c r="P41" i="1"/>
  <c r="AB41" i="1"/>
  <c r="AC12" i="2"/>
  <c r="AC11" i="2"/>
  <c r="AC10" i="2"/>
  <c r="AC9" i="2"/>
  <c r="AC8" i="2"/>
  <c r="AC7" i="2"/>
  <c r="AC6" i="2"/>
  <c r="AC5" i="2"/>
  <c r="AC4" i="2"/>
  <c r="AB12" i="2"/>
  <c r="AB11" i="2"/>
  <c r="AB10" i="2"/>
  <c r="AB9" i="2"/>
  <c r="AB8" i="2"/>
  <c r="AB7" i="2"/>
  <c r="AB6" i="2"/>
  <c r="AB5" i="2"/>
  <c r="AB4" i="2"/>
  <c r="AA12" i="2"/>
  <c r="AA11" i="2"/>
  <c r="AA10" i="2"/>
  <c r="AA9" i="2"/>
  <c r="AA8" i="2"/>
  <c r="AA7" i="2"/>
  <c r="AA6" i="2"/>
  <c r="AA5" i="2"/>
  <c r="AA4" i="2"/>
  <c r="Z12" i="2"/>
  <c r="Z11" i="2"/>
  <c r="Z10" i="2"/>
  <c r="Z9" i="2"/>
  <c r="Z8" i="2"/>
  <c r="Z7" i="2"/>
  <c r="Z6" i="2"/>
  <c r="Z5" i="2"/>
  <c r="Z4" i="2"/>
  <c r="Y12" i="2"/>
  <c r="Y11" i="2"/>
  <c r="Y10" i="2"/>
  <c r="Y9" i="2"/>
  <c r="Y8" i="2"/>
  <c r="Y7" i="2"/>
  <c r="Y6" i="2"/>
  <c r="Y5" i="2"/>
  <c r="Y4" i="2"/>
  <c r="X12" i="2"/>
  <c r="X11" i="2"/>
  <c r="X10" i="2"/>
  <c r="X9" i="2"/>
  <c r="X8" i="2"/>
  <c r="X7" i="2"/>
  <c r="X6" i="2"/>
  <c r="X5" i="2"/>
  <c r="X4" i="2"/>
  <c r="W12" i="2"/>
  <c r="W11" i="2"/>
  <c r="W10" i="2"/>
  <c r="W9" i="2"/>
  <c r="W8" i="2"/>
  <c r="W7" i="2"/>
  <c r="W6" i="2"/>
  <c r="W5" i="2"/>
  <c r="W4" i="2"/>
  <c r="V12" i="2"/>
  <c r="V11" i="2"/>
  <c r="V10" i="2"/>
  <c r="V9" i="2"/>
  <c r="V8" i="2"/>
  <c r="V7" i="2"/>
  <c r="V6" i="2"/>
  <c r="V5" i="2"/>
  <c r="V4" i="2"/>
  <c r="U12" i="2"/>
  <c r="U11" i="2"/>
  <c r="U10" i="2"/>
  <c r="U9" i="2"/>
  <c r="U8" i="2"/>
  <c r="U7" i="2"/>
  <c r="U6" i="2"/>
  <c r="U5" i="2"/>
  <c r="U4" i="2"/>
  <c r="T12" i="2"/>
  <c r="T11" i="2"/>
  <c r="T10" i="2"/>
  <c r="T9" i="2"/>
  <c r="T8" i="2"/>
  <c r="T7" i="2"/>
  <c r="T6" i="2"/>
  <c r="T5" i="2"/>
  <c r="T4" i="2"/>
  <c r="S12" i="2"/>
  <c r="S11" i="2"/>
  <c r="S10" i="2"/>
  <c r="S9" i="2"/>
  <c r="S8" i="2"/>
  <c r="S7" i="2"/>
  <c r="S6" i="2"/>
  <c r="S5" i="2"/>
  <c r="S4" i="2"/>
  <c r="R12" i="2"/>
  <c r="R11" i="2"/>
  <c r="R10" i="2"/>
  <c r="R9" i="2"/>
  <c r="R8" i="2"/>
  <c r="R7" i="2"/>
  <c r="R6" i="2"/>
  <c r="R5" i="2"/>
  <c r="R4" i="2"/>
  <c r="Q12" i="2"/>
  <c r="Q11" i="2"/>
  <c r="Q10" i="2"/>
  <c r="Q9" i="2"/>
  <c r="Q8" i="2"/>
  <c r="Q7" i="2"/>
  <c r="Q6" i="2"/>
  <c r="Q5" i="2"/>
  <c r="Q4" i="2"/>
  <c r="P12" i="2"/>
  <c r="P11" i="2"/>
  <c r="P10" i="2"/>
  <c r="P9" i="2"/>
  <c r="P8" i="2"/>
  <c r="P7" i="2"/>
  <c r="P6" i="2"/>
  <c r="P5" i="2"/>
  <c r="P4" i="2"/>
  <c r="O12" i="2"/>
  <c r="O11" i="2"/>
  <c r="O10" i="2"/>
  <c r="O9" i="2"/>
  <c r="O8" i="2"/>
  <c r="O7" i="2"/>
  <c r="O6" i="2"/>
  <c r="O5" i="2"/>
  <c r="O4" i="2"/>
  <c r="N12" i="2"/>
  <c r="N11" i="2"/>
  <c r="N10" i="2"/>
  <c r="N9" i="2"/>
  <c r="N8" i="2"/>
  <c r="N7" i="2"/>
  <c r="N6" i="2"/>
  <c r="N5" i="2"/>
  <c r="N4" i="2"/>
  <c r="M12" i="2"/>
  <c r="M11" i="2"/>
  <c r="M10" i="2"/>
  <c r="M9" i="2"/>
  <c r="M8" i="2"/>
  <c r="M7" i="2"/>
  <c r="M6" i="2"/>
  <c r="M5" i="2"/>
  <c r="M4" i="2"/>
  <c r="L12" i="2"/>
  <c r="L11" i="2"/>
  <c r="L10" i="2"/>
  <c r="L9" i="2"/>
  <c r="L8" i="2"/>
  <c r="L7" i="2"/>
  <c r="L6" i="2"/>
  <c r="L5" i="2"/>
  <c r="L4" i="2"/>
  <c r="K12" i="2"/>
  <c r="K11" i="2"/>
  <c r="K10" i="2"/>
  <c r="K9" i="2"/>
  <c r="K8" i="2"/>
  <c r="K7" i="2"/>
  <c r="K6" i="2"/>
  <c r="K5" i="2"/>
  <c r="K4" i="2"/>
  <c r="J12" i="2"/>
  <c r="J11" i="2"/>
  <c r="J10" i="2"/>
  <c r="J9" i="2"/>
  <c r="J8" i="2"/>
  <c r="J7" i="2"/>
  <c r="J6" i="2"/>
  <c r="J5" i="2"/>
  <c r="J4" i="2"/>
  <c r="I12" i="2"/>
  <c r="I11" i="2"/>
  <c r="I10" i="2"/>
  <c r="I9" i="2"/>
  <c r="I8" i="2"/>
  <c r="I7" i="2"/>
  <c r="I6" i="2"/>
  <c r="I5" i="2"/>
  <c r="I4" i="2"/>
  <c r="H12" i="2"/>
  <c r="H11" i="2"/>
  <c r="H10" i="2"/>
  <c r="H9" i="2"/>
  <c r="H8" i="2"/>
  <c r="H7" i="2"/>
  <c r="H6" i="2"/>
  <c r="H5" i="2"/>
  <c r="H4" i="2"/>
  <c r="G12" i="2"/>
  <c r="G11" i="2"/>
  <c r="G10" i="2"/>
  <c r="G9" i="2"/>
  <c r="G8" i="2"/>
  <c r="G7" i="2"/>
  <c r="G6" i="2"/>
  <c r="G5" i="2"/>
  <c r="G4" i="2"/>
  <c r="F12" i="2"/>
  <c r="F11" i="2"/>
  <c r="F10" i="2"/>
  <c r="F9" i="2"/>
  <c r="F8" i="2"/>
  <c r="F7" i="2"/>
  <c r="F6" i="2"/>
  <c r="F5" i="2"/>
  <c r="F4" i="2"/>
  <c r="E12" i="2"/>
  <c r="E11" i="2"/>
  <c r="E10" i="2"/>
  <c r="E9" i="2"/>
  <c r="E8" i="2"/>
  <c r="E7" i="2"/>
  <c r="E6" i="2"/>
  <c r="E5" i="2"/>
  <c r="E4" i="2"/>
  <c r="D12" i="2"/>
  <c r="D11" i="2"/>
  <c r="D10" i="2"/>
  <c r="D9" i="2"/>
  <c r="D8" i="2"/>
  <c r="D7" i="2"/>
  <c r="D6" i="2"/>
  <c r="D5" i="2"/>
  <c r="D4" i="2"/>
  <c r="C5" i="2"/>
  <c r="C6" i="2"/>
  <c r="C7" i="2"/>
  <c r="C8" i="2"/>
  <c r="C9" i="2"/>
  <c r="C10" i="2"/>
  <c r="C11" i="2"/>
  <c r="C12" i="2"/>
  <c r="C4" i="2"/>
  <c r="AK48" i="1"/>
  <c r="AK47" i="1"/>
  <c r="AK46" i="1"/>
  <c r="AK45" i="1"/>
  <c r="AK44" i="1"/>
  <c r="AK43" i="1"/>
  <c r="AK42" i="1"/>
  <c r="AI50" i="1"/>
  <c r="AH50" i="1"/>
  <c r="AG50" i="1"/>
  <c r="AF50" i="1"/>
  <c r="AE50" i="1"/>
  <c r="AD50" i="1"/>
  <c r="AC50" i="1"/>
  <c r="AB50" i="1"/>
  <c r="Y49" i="1"/>
  <c r="Y48" i="1"/>
  <c r="Y47" i="1"/>
  <c r="Y46" i="1"/>
  <c r="Y45" i="1"/>
  <c r="Y44" i="1"/>
  <c r="Y43" i="1"/>
  <c r="Y42" i="1"/>
  <c r="Y41" i="1"/>
  <c r="X50" i="1"/>
  <c r="W50" i="1"/>
  <c r="V50" i="1"/>
  <c r="U50" i="1"/>
  <c r="T50" i="1"/>
  <c r="S50" i="1"/>
  <c r="R50" i="1"/>
  <c r="Q50" i="1"/>
  <c r="P50" i="1"/>
  <c r="M49" i="1"/>
  <c r="M48" i="1"/>
  <c r="M47" i="1"/>
  <c r="M46" i="1"/>
  <c r="M45" i="1"/>
  <c r="M44" i="1"/>
  <c r="M43" i="1"/>
  <c r="M42" i="1"/>
  <c r="M41" i="1"/>
  <c r="K50" i="1"/>
  <c r="J50" i="1"/>
  <c r="I50" i="1"/>
  <c r="H50" i="1"/>
  <c r="F50" i="1"/>
  <c r="E50" i="1"/>
  <c r="D50" i="1"/>
  <c r="AK37" i="1"/>
  <c r="AK36" i="1"/>
  <c r="AK35" i="1"/>
  <c r="AK34" i="1"/>
  <c r="AK33" i="1"/>
  <c r="AK32" i="1"/>
  <c r="AK31" i="1"/>
  <c r="AK30" i="1"/>
  <c r="AK29" i="1"/>
  <c r="AJ38" i="1"/>
  <c r="AI38" i="1"/>
  <c r="AH38" i="1"/>
  <c r="AG38" i="1"/>
  <c r="AF38" i="1"/>
  <c r="AE38" i="1"/>
  <c r="AD38" i="1"/>
  <c r="AC38" i="1"/>
  <c r="AB38" i="1"/>
  <c r="Y37" i="1"/>
  <c r="Y36" i="1"/>
  <c r="Y35" i="1"/>
  <c r="Y34" i="1"/>
  <c r="Y33" i="1"/>
  <c r="Y32" i="1"/>
  <c r="Y31" i="1"/>
  <c r="Y30" i="1"/>
  <c r="W38" i="1"/>
  <c r="V38" i="1"/>
  <c r="U38" i="1"/>
  <c r="T38" i="1"/>
  <c r="S38" i="1"/>
  <c r="R38" i="1"/>
  <c r="Q38" i="1"/>
  <c r="P38" i="1"/>
  <c r="M37" i="1"/>
  <c r="M36" i="1"/>
  <c r="M35" i="1"/>
  <c r="M34" i="1"/>
  <c r="M33" i="1"/>
  <c r="M32" i="1"/>
  <c r="M31" i="1"/>
  <c r="M30" i="1"/>
  <c r="M29" i="1"/>
  <c r="L38" i="1"/>
  <c r="K38" i="1"/>
  <c r="J38" i="1"/>
  <c r="I38" i="1"/>
  <c r="H38" i="1"/>
  <c r="G38" i="1"/>
  <c r="F38" i="1"/>
  <c r="E38" i="1"/>
  <c r="D38" i="1"/>
  <c r="AI26" i="1"/>
  <c r="AH26" i="1"/>
  <c r="AG26" i="1"/>
  <c r="AF26" i="1"/>
  <c r="AE26" i="1"/>
  <c r="AD26" i="1"/>
  <c r="AC26" i="1"/>
  <c r="AB26" i="1"/>
  <c r="AK25" i="1"/>
  <c r="AK24" i="1"/>
  <c r="AK23" i="1"/>
  <c r="AK22" i="1"/>
  <c r="AK21" i="1"/>
  <c r="AK20" i="1"/>
  <c r="AK19" i="1"/>
  <c r="AK18" i="1"/>
  <c r="Y18" i="1"/>
  <c r="Y19" i="1"/>
  <c r="Y20" i="1"/>
  <c r="Y21" i="1"/>
  <c r="Y22" i="1"/>
  <c r="Y23" i="1"/>
  <c r="Y24" i="1"/>
  <c r="Y25" i="1"/>
  <c r="Y17" i="1"/>
  <c r="Q26" i="1"/>
  <c r="R26" i="1"/>
  <c r="S26" i="1"/>
  <c r="T26" i="1"/>
  <c r="U26" i="1"/>
  <c r="V26" i="1"/>
  <c r="W26" i="1"/>
  <c r="X26" i="1"/>
  <c r="P26" i="1"/>
  <c r="M18" i="1"/>
  <c r="M19" i="1"/>
  <c r="M20" i="1"/>
  <c r="M21" i="1"/>
  <c r="M22" i="1"/>
  <c r="M23" i="1"/>
  <c r="M24" i="1"/>
  <c r="M25" i="1"/>
  <c r="M17" i="1"/>
  <c r="E26" i="1"/>
  <c r="F26" i="1"/>
  <c r="G26" i="1"/>
  <c r="H26" i="1"/>
  <c r="I26" i="1"/>
  <c r="J26" i="1"/>
  <c r="K26" i="1"/>
  <c r="L26" i="1"/>
  <c r="D26" i="1"/>
  <c r="AK41" i="1" l="1"/>
  <c r="Y29" i="1"/>
  <c r="AK49" i="1"/>
  <c r="AK17" i="1"/>
  <c r="AJ26" i="1"/>
  <c r="AD11" i="1"/>
  <c r="R11" i="1" s="1"/>
  <c r="AJ5" i="1"/>
  <c r="X5" i="1" s="1"/>
  <c r="AH7" i="1"/>
  <c r="V7" i="1" s="1"/>
  <c r="AC12" i="1"/>
  <c r="Q12" i="1" s="1"/>
  <c r="AJ11" i="1"/>
  <c r="X11" i="1" s="1"/>
  <c r="AH11" i="1"/>
  <c r="V11" i="1" s="1"/>
  <c r="AG12" i="1"/>
  <c r="U12" i="1" s="1"/>
  <c r="AF5" i="1"/>
  <c r="T5" i="1" s="1"/>
  <c r="AG4" i="1"/>
  <c r="U4" i="1" s="1"/>
  <c r="AC4" i="1"/>
  <c r="Q4" i="1" s="1"/>
  <c r="AE6" i="1"/>
  <c r="S6" i="1" s="1"/>
  <c r="AB11" i="1"/>
  <c r="P11" i="1" s="1"/>
  <c r="AI6" i="1"/>
  <c r="W6" i="1" s="1"/>
  <c r="AG6" i="1"/>
  <c r="U6" i="1" s="1"/>
  <c r="AI10" i="1"/>
  <c r="W10" i="1" s="1"/>
  <c r="AG10" i="1"/>
  <c r="U10" i="1" s="1"/>
  <c r="AJ9" i="1"/>
  <c r="X9" i="1" s="1"/>
  <c r="AH5" i="1"/>
  <c r="V5" i="1" s="1"/>
  <c r="AB9" i="1"/>
  <c r="P9" i="1" s="1"/>
  <c r="AI4" i="1"/>
  <c r="W4" i="1" s="1"/>
  <c r="AI12" i="1"/>
  <c r="W12" i="1" s="1"/>
  <c r="AC8" i="1"/>
  <c r="Q8" i="1" s="1"/>
  <c r="AJ7" i="1"/>
  <c r="X7" i="1" s="1"/>
  <c r="AE10" i="1"/>
  <c r="S10" i="1" s="1"/>
  <c r="AD7" i="1"/>
  <c r="R7" i="1" s="1"/>
  <c r="AE4" i="1"/>
  <c r="S4" i="1" s="1"/>
  <c r="AE12" i="1"/>
  <c r="S12" i="1" s="1"/>
  <c r="AH9" i="1"/>
  <c r="V9" i="1" s="1"/>
  <c r="AF9" i="1"/>
  <c r="T9" i="1" s="1"/>
  <c r="AD9" i="1"/>
  <c r="R9" i="1" s="1"/>
  <c r="AB7" i="1"/>
  <c r="P7" i="1" s="1"/>
  <c r="AC6" i="1"/>
  <c r="Q6" i="1" s="1"/>
  <c r="AC10" i="1"/>
  <c r="Q10" i="1" s="1"/>
  <c r="AG8" i="1"/>
  <c r="U8" i="1" s="1"/>
  <c r="AE8" i="1"/>
  <c r="S8" i="1" s="1"/>
  <c r="AF7" i="1"/>
  <c r="T7" i="1" s="1"/>
  <c r="AF11" i="1"/>
  <c r="T11" i="1" s="1"/>
  <c r="AI8" i="1"/>
  <c r="W8" i="1" s="1"/>
  <c r="AH4" i="1"/>
  <c r="V4" i="1" s="1"/>
  <c r="AD4" i="1"/>
  <c r="R4" i="1" s="1"/>
  <c r="AH12" i="1"/>
  <c r="V12" i="1" s="1"/>
  <c r="AD12" i="1"/>
  <c r="R12" i="1" s="1"/>
  <c r="AI11" i="1"/>
  <c r="W11" i="1" s="1"/>
  <c r="AE11" i="1"/>
  <c r="S11" i="1" s="1"/>
  <c r="AJ10" i="1"/>
  <c r="X10" i="1" s="1"/>
  <c r="AF10" i="1"/>
  <c r="T10" i="1" s="1"/>
  <c r="AB10" i="1"/>
  <c r="P10" i="1" s="1"/>
  <c r="AG9" i="1"/>
  <c r="U9" i="1" s="1"/>
  <c r="AC9" i="1"/>
  <c r="Q9" i="1" s="1"/>
  <c r="AH8" i="1"/>
  <c r="V8" i="1" s="1"/>
  <c r="AD8" i="1"/>
  <c r="R8" i="1" s="1"/>
  <c r="AI7" i="1"/>
  <c r="W7" i="1" s="1"/>
  <c r="AE7" i="1"/>
  <c r="S7" i="1" s="1"/>
  <c r="AJ6" i="1"/>
  <c r="X6" i="1" s="1"/>
  <c r="AF6" i="1"/>
  <c r="T6" i="1" s="1"/>
  <c r="AB6" i="1"/>
  <c r="P6" i="1" s="1"/>
  <c r="AG5" i="1"/>
  <c r="U5" i="1" s="1"/>
  <c r="AC5" i="1"/>
  <c r="Q5" i="1" s="1"/>
  <c r="AB4" i="1"/>
  <c r="P4" i="1" s="1"/>
  <c r="AJ4" i="1"/>
  <c r="X4" i="1" s="1"/>
  <c r="AF4" i="1"/>
  <c r="T4" i="1" s="1"/>
  <c r="AJ12" i="1"/>
  <c r="X12" i="1" s="1"/>
  <c r="AF12" i="1"/>
  <c r="T12" i="1" s="1"/>
  <c r="AB12" i="1"/>
  <c r="P12" i="1" s="1"/>
  <c r="AG11" i="1"/>
  <c r="U11" i="1" s="1"/>
  <c r="AC11" i="1"/>
  <c r="Q11" i="1" s="1"/>
  <c r="AH10" i="1"/>
  <c r="V10" i="1" s="1"/>
  <c r="AD10" i="1"/>
  <c r="R10" i="1" s="1"/>
  <c r="AI9" i="1"/>
  <c r="W9" i="1" s="1"/>
  <c r="AE9" i="1"/>
  <c r="S9" i="1" s="1"/>
  <c r="AJ8" i="1"/>
  <c r="X8" i="1" s="1"/>
  <c r="AF8" i="1"/>
  <c r="T8" i="1" s="1"/>
  <c r="AB8" i="1"/>
  <c r="P8" i="1" s="1"/>
  <c r="AG7" i="1"/>
  <c r="U7" i="1" s="1"/>
  <c r="AC7" i="1"/>
  <c r="Q7" i="1" s="1"/>
  <c r="AH6" i="1"/>
  <c r="V6" i="1" s="1"/>
  <c r="AD6" i="1"/>
  <c r="R6" i="1" s="1"/>
  <c r="AI5" i="1"/>
  <c r="W5" i="1" s="1"/>
  <c r="AE5" i="1"/>
  <c r="S5" i="1" s="1"/>
</calcChain>
</file>

<file path=xl/sharedStrings.xml><?xml version="1.0" encoding="utf-8"?>
<sst xmlns="http://schemas.openxmlformats.org/spreadsheetml/2006/main" count="427" uniqueCount="128">
  <si>
    <t>R1</t>
  </si>
  <si>
    <t>R2</t>
  </si>
  <si>
    <t>R3</t>
  </si>
  <si>
    <t>R4</t>
  </si>
  <si>
    <t>R5</t>
  </si>
  <si>
    <t>R6</t>
  </si>
  <si>
    <t>R7</t>
  </si>
  <si>
    <t>R8</t>
  </si>
  <si>
    <t>R9</t>
  </si>
  <si>
    <t>C1</t>
  </si>
  <si>
    <t>C2</t>
  </si>
  <si>
    <t>C3</t>
  </si>
  <si>
    <t>C4</t>
  </si>
  <si>
    <t>C5</t>
  </si>
  <si>
    <t>C6</t>
  </si>
  <si>
    <t>C7</t>
  </si>
  <si>
    <t>C8</t>
  </si>
  <si>
    <t>C9</t>
  </si>
  <si>
    <t>S11</t>
  </si>
  <si>
    <t>S12</t>
  </si>
  <si>
    <t>S13</t>
  </si>
  <si>
    <t>S21</t>
  </si>
  <si>
    <t>S22</t>
  </si>
  <si>
    <t>S23</t>
  </si>
  <si>
    <t>S31</t>
  </si>
  <si>
    <t>S32</t>
  </si>
  <si>
    <t>S33</t>
  </si>
  <si>
    <t>Was bekannt ist, hier eingeben</t>
  </si>
  <si>
    <t>...daraus ergibt sich</t>
  </si>
  <si>
    <t>Hilfsmatrizen</t>
  </si>
  <si>
    <t>Kopierfelder (Zwischenlösungen)</t>
  </si>
  <si>
    <t>Alle noch offenen Möglichkeiten</t>
  </si>
  <si>
    <t>1.</t>
  </si>
  <si>
    <t>2.</t>
  </si>
  <si>
    <t/>
  </si>
  <si>
    <t>Erfasse zuerst die vorgegebenen Zahlen</t>
  </si>
  <si>
    <t>3.</t>
  </si>
  <si>
    <t>Wenn Du Glück hast, findest Du ein orange</t>
  </si>
  <si>
    <t>Trag also die orange</t>
  </si>
  <si>
    <t>ein.</t>
  </si>
  <si>
    <t>Trag nach und nach alle anderen orangen</t>
  </si>
  <si>
    <t>Felder ein.</t>
  </si>
  <si>
    <t>4.</t>
  </si>
  <si>
    <t>Der einfache Fall</t>
  </si>
  <si>
    <t>Felder ein, bis das Sudoku ausgefüllt ist.</t>
  </si>
  <si>
    <t>vorgegebenes Feld wie bspw. die</t>
  </si>
  <si>
    <t>Erfasse zuerst die vorgegebenen Zahlen.</t>
  </si>
  <si>
    <t>Leider kein oranges Feld wie dieses</t>
  </si>
  <si>
    <t>Aber in der Hilfsmatrix findest Du</t>
  </si>
  <si>
    <t>einen eindeutigen Wert, die</t>
  </si>
  <si>
    <t>im hellgrünen Feld</t>
  </si>
  <si>
    <t>Trage diese 8 ein.</t>
  </si>
  <si>
    <t>Kombiniere nun die Angaben aus der</t>
  </si>
  <si>
    <t>Hilfsmatrix mit den orangen Feldern.</t>
  </si>
  <si>
    <t>Jetzt hilft nur eins: Raten!</t>
  </si>
  <si>
    <t>Am besten mit den gelben "Doppelzahl-</t>
  </si>
  <si>
    <t>feldern" wie bspw. der</t>
  </si>
  <si>
    <t>5.</t>
  </si>
  <si>
    <t>6.</t>
  </si>
  <si>
    <t xml:space="preserve">Vorschläge wie die </t>
  </si>
  <si>
    <t>oder die Matrizen</t>
  </si>
  <si>
    <t>Auch die Hilfsmatrix hilft nicht weiter, kein</t>
  </si>
  <si>
    <t>hellgrünes Feld in Sicht.</t>
  </si>
  <si>
    <t>Ich entscheide mich für die 5.</t>
  </si>
  <si>
    <r>
      <t xml:space="preserve">und kopiere mein Zwischenresultat </t>
    </r>
    <r>
      <rPr>
        <b/>
        <sz val="10"/>
        <rFont val="Tahoma"/>
        <family val="2"/>
      </rPr>
      <t>vorher</t>
    </r>
    <r>
      <rPr>
        <sz val="10"/>
        <rFont val="Tahoma"/>
        <family val="2"/>
      </rPr>
      <t xml:space="preserve"> (ohne 5)</t>
    </r>
  </si>
  <si>
    <t>auch gleich noch ins Kopierfeld.</t>
  </si>
  <si>
    <t>Dann mache ich weiter und kombiniere fertige</t>
  </si>
  <si>
    <t>Zwischenlösung</t>
  </si>
  <si>
    <t>und mache auch ab und zu eine Kopie der</t>
  </si>
  <si>
    <t>und so weiter und so fort…</t>
  </si>
  <si>
    <t>Allenfalls muss ich, wenn ich sehe, dass ich falsch</t>
  </si>
  <si>
    <t>geraten habe, wieder zu einer Zwischenlösung zurück.</t>
  </si>
  <si>
    <t>Fertig? Ganz zum Schluss Prüfe ich im Register Pruefung, ob alle Felder richtig und nicht doppelt bestückt sind, das</t>
  </si>
  <si>
    <t>Lösung</t>
  </si>
  <si>
    <t>Wie funktioniert Sudoku?</t>
  </si>
  <si>
    <t>Jede der Ziffern 1 bis 9 darf nur einmal pro Zeile</t>
  </si>
  <si>
    <t>und einmal pro Spalte</t>
  </si>
  <si>
    <t>und einmal pro Quadrat</t>
  </si>
  <si>
    <t>vorkommen, so dass das graue Feld die Ziffer 3</t>
  </si>
  <si>
    <t>Ein Musterbeispiel</t>
  </si>
  <si>
    <t>Dann schaffst Du es bis hier, aber</t>
  </si>
  <si>
    <t>leider kein oranges Feld wie dieses</t>
  </si>
  <si>
    <t>Deshalb hilft nur Raten, ich entscheide mich</t>
  </si>
  <si>
    <t>für die 1 und nicht die 2.</t>
  </si>
  <si>
    <t>Hier</t>
  </si>
  <si>
    <t>kann was nicht stimmen, also</t>
  </si>
  <si>
    <t>zurück und die 2 einsetzen, zum Glück habe ich</t>
  </si>
  <si>
    <t>zwischengespeichert.</t>
  </si>
  <si>
    <t>Ich versuchs also mit der 2 anstelle der 1.</t>
  </si>
  <si>
    <t>Und alles löst sich mit orangen Ziffern</t>
  </si>
  <si>
    <t>auf :-)</t>
  </si>
  <si>
    <t>hellgrünes Feld mehr in Sicht.</t>
  </si>
  <si>
    <t>sehe ich an den vielen hellblau hinterlegten</t>
  </si>
  <si>
    <t>Sudoku für Dummys ;-)</t>
  </si>
  <si>
    <t>Ein Feld frei</t>
  </si>
  <si>
    <t>Parallele</t>
  </si>
  <si>
    <t>Sich kreuzende Linien</t>
  </si>
  <si>
    <t>Blockade</t>
  </si>
  <si>
    <t>2 3</t>
  </si>
  <si>
    <t>Kombination</t>
  </si>
  <si>
    <t>6 9</t>
  </si>
  <si>
    <r>
      <t xml:space="preserve">Auf einem der beiden weissen Feldern muss eine 6 stehen. Auf den beiden schwarzen Feldern kann daher keine 6 und wegen der 9 oberhalb der schwarzen Felder auch keine 9 stehen, die 6 und die 9 müssen deshalb auf den violetten Feldern sein. Berücksichtige das gelbe Kreuz, so sind die 1, 2, 3, 4, 5, 6 oder 9, 7, 9 oder 6 schon vergeben. Es bleibt also für das orange Feld nur noch die </t>
    </r>
    <r>
      <rPr>
        <b/>
        <sz val="12"/>
        <color indexed="52"/>
        <rFont val="Arial"/>
        <family val="2"/>
      </rPr>
      <t>8</t>
    </r>
    <r>
      <rPr>
        <sz val="10"/>
        <rFont val="Arial"/>
      </rPr>
      <t>.</t>
    </r>
  </si>
  <si>
    <r>
      <t>Für die 1 oben rechts gibt es sieben Kandidaten-Felder, von denen aber sechs blockiert sind durch die anderen 1er. Damit bleibt nur das orange Feld für die</t>
    </r>
    <r>
      <rPr>
        <b/>
        <sz val="12"/>
        <color indexed="52"/>
        <rFont val="Arial"/>
        <family val="2"/>
      </rPr>
      <t xml:space="preserve"> 1</t>
    </r>
    <r>
      <rPr>
        <sz val="10"/>
        <rFont val="Arial"/>
      </rPr>
      <t xml:space="preserve"> übrig.</t>
    </r>
  </si>
  <si>
    <r>
      <t>Die 2er und 3er in der ersten Zeile bzw. der ersten Spalte lassen für die 2 und die 3 nur zwei Positionen übrig. Der 1er kann nicht in der obersten Zeile und auch nicht in der zweitobersten stehen (parallele Linien), also bleibt nur das orange Feld für die</t>
    </r>
    <r>
      <rPr>
        <b/>
        <sz val="10"/>
        <color indexed="52"/>
        <rFont val="Arial"/>
        <family val="2"/>
      </rPr>
      <t xml:space="preserve"> </t>
    </r>
    <r>
      <rPr>
        <b/>
        <sz val="12"/>
        <color indexed="52"/>
        <rFont val="Arial"/>
        <family val="2"/>
      </rPr>
      <t>1</t>
    </r>
    <r>
      <rPr>
        <sz val="10"/>
        <rFont val="Arial"/>
      </rPr>
      <t>.</t>
    </r>
  </si>
  <si>
    <r>
      <t xml:space="preserve">Von den acht möglichen Feldern im rechten oberen Bereich werden sieben durch die kreuzenden gelben 1er-Linien ausgeschlossen, so dass nur das orange Feld übrigbleibt. Dort muss also eine </t>
    </r>
    <r>
      <rPr>
        <b/>
        <sz val="12"/>
        <color indexed="52"/>
        <rFont val="Arial"/>
        <family val="2"/>
      </rPr>
      <t>1</t>
    </r>
    <r>
      <rPr>
        <sz val="10"/>
        <rFont val="Arial"/>
      </rPr>
      <t xml:space="preserve"> stehen.</t>
    </r>
  </si>
  <si>
    <r>
      <t xml:space="preserve">Es bleibt nur die </t>
    </r>
    <r>
      <rPr>
        <b/>
        <sz val="12"/>
        <color indexed="52"/>
        <rFont val="Arial"/>
        <family val="2"/>
      </rPr>
      <t>6</t>
    </r>
    <r>
      <rPr>
        <sz val="10"/>
        <rFont val="Arial"/>
        <family val="2"/>
      </rPr>
      <t>.</t>
    </r>
  </si>
  <si>
    <r>
      <t xml:space="preserve">Die beiden 1er links unten und rechts oben lassen für den 1er im linken oberen Bereich nur 2 Felder zu, damit wird aber die Position der orangen </t>
    </r>
    <r>
      <rPr>
        <b/>
        <sz val="12"/>
        <color indexed="52"/>
        <rFont val="Arial"/>
        <family val="2"/>
      </rPr>
      <t>1</t>
    </r>
    <r>
      <rPr>
        <sz val="10"/>
        <rFont val="Arial"/>
      </rPr>
      <t xml:space="preserve"> festgelegt.</t>
    </r>
  </si>
  <si>
    <r>
      <t xml:space="preserve">In der mittleren Zeile fehlen die 1, 8 und die 9. Da diese aber oben bzw. unten aufgeführt sind, muss das mittlere Feld die </t>
    </r>
    <r>
      <rPr>
        <b/>
        <sz val="12"/>
        <color indexed="52"/>
        <rFont val="Arial"/>
        <family val="2"/>
      </rPr>
      <t>8</t>
    </r>
    <r>
      <rPr>
        <sz val="10"/>
        <rFont val="Arial"/>
      </rPr>
      <t xml:space="preserve"> sein.</t>
    </r>
  </si>
  <si>
    <t>Tipps zum Selberlösen</t>
  </si>
  <si>
    <t>Wichtig war mir, dass der Lösungsweg nicht ganz verloren geht, das heisst, dass ich auch nicht die fertige Lösung präsentiert haben wollte, sondern eben auch den Weg zu den Lösungen.</t>
  </si>
  <si>
    <t>Nutzt das Programm also, wenn Ihr nicht mehr weiterwisst. Das Tüfteln wird Euch nicht ganz abgenommen.</t>
  </si>
  <si>
    <t>Dieses kleine Excel-File entstand, weil ich selber gerne Sudokus löse, ich aber merkte, dass einige Sudokus nur mit mühsamen Versuchen und Radieren zu lösen sind, so dass ich mich entschloss, ein kleines Excel-File zu schreiben.</t>
  </si>
  <si>
    <t>Ich habe auf dem Internet ein paar Programmiertricks abgeschaut, die Hilfe zusammengetragen und den Algorithmus, den ich beim Lösen mit Papier und Bleistift anwende, implementiert.</t>
  </si>
  <si>
    <t>unten links</t>
  </si>
  <si>
    <t>Was bekannt ist, hier</t>
  </si>
  <si>
    <t>Motivation und Startanleitung</t>
  </si>
  <si>
    <t>Du befindest Dich im Reiter "Anleitung", um Dein Sudoku einzugeben, klicke auf den Reiter Sudoku unten links und füll die Matrix oben links aus.</t>
  </si>
  <si>
    <t>Nummer (1-9)</t>
  </si>
  <si>
    <t xml:space="preserve">Spalte (R1-R9) </t>
  </si>
  <si>
    <t>Zeile (C1-C9)</t>
  </si>
  <si>
    <t>Total (S1-S9)</t>
  </si>
  <si>
    <t>Was bekannt ist,</t>
  </si>
  <si>
    <t>hier eingeben…</t>
  </si>
  <si>
    <t xml:space="preserve">  Kopierfelder</t>
  </si>
  <si>
    <t xml:space="preserve">  für Zwischenlösungen</t>
  </si>
  <si>
    <t>Ein schwieriger Fall</t>
  </si>
  <si>
    <t>Noch verzwickter</t>
  </si>
  <si>
    <t>sein muss.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</si>
</sst>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18" x14ac:knownFonts="1">
    <font>
      <sz val="10"/>
      <name val="Arial"/>
    </font>
    <font>
      <sz val="8"/>
      <name val="Arial"/>
    </font>
    <font>
      <sz val="10"/>
      <name val="Tahoma"/>
      <family val="2"/>
    </font>
    <font>
      <sz val="8"/>
      <name val="Tahoma"/>
      <family val="2"/>
    </font>
    <font>
      <b/>
      <sz val="10"/>
      <name val="Tahoma"/>
      <family val="2"/>
    </font>
    <font>
      <b/>
      <sz val="10"/>
      <color indexed="10"/>
      <name val="Tahoma"/>
      <family val="2"/>
    </font>
    <font>
      <b/>
      <sz val="12"/>
      <name val="Tahoma"/>
      <family val="2"/>
    </font>
    <font>
      <sz val="14"/>
      <name val="Arial"/>
    </font>
    <font>
      <b/>
      <sz val="14"/>
      <name val="Tahoma"/>
      <family val="2"/>
    </font>
    <font>
      <sz val="10"/>
      <name val="Arial"/>
    </font>
    <font>
      <b/>
      <sz val="8"/>
      <color indexed="12"/>
      <name val="Tahoma"/>
      <family val="2"/>
    </font>
    <font>
      <b/>
      <sz val="10"/>
      <color indexed="8"/>
      <name val="Tahoma"/>
      <family val="2"/>
    </font>
    <font>
      <b/>
      <sz val="10"/>
      <color indexed="52"/>
      <name val="Arial"/>
      <family val="2"/>
    </font>
    <font>
      <b/>
      <sz val="12"/>
      <color indexed="52"/>
      <name val="Arial"/>
      <family val="2"/>
    </font>
    <font>
      <sz val="10"/>
      <name val="Arial"/>
      <family val="2"/>
    </font>
    <font>
      <sz val="10"/>
      <color indexed="10"/>
      <name val="Arial"/>
    </font>
    <font>
      <b/>
      <sz val="16"/>
      <name val="Tahoma"/>
      <family val="2"/>
    </font>
    <font>
      <sz val="10"/>
      <color indexed="10"/>
      <name val="Tahoma"/>
      <family val="2"/>
    </font>
  </fonts>
  <fills count="18">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47"/>
        <bgColor indexed="64"/>
      </patternFill>
    </fill>
    <fill>
      <patternFill patternType="solid">
        <fgColor indexed="12"/>
        <bgColor indexed="64"/>
      </patternFill>
    </fill>
    <fill>
      <patternFill patternType="solid">
        <fgColor indexed="10"/>
        <bgColor indexed="64"/>
      </patternFill>
    </fill>
    <fill>
      <patternFill patternType="solid">
        <fgColor indexed="52"/>
        <bgColor indexed="64"/>
      </patternFill>
    </fill>
    <fill>
      <patternFill patternType="solid">
        <fgColor indexed="11"/>
        <bgColor indexed="64"/>
      </patternFill>
    </fill>
    <fill>
      <patternFill patternType="solid">
        <fgColor indexed="9"/>
        <bgColor indexed="64"/>
      </patternFill>
    </fill>
    <fill>
      <patternFill patternType="solid">
        <fgColor indexed="8"/>
        <bgColor indexed="64"/>
      </patternFill>
    </fill>
    <fill>
      <patternFill patternType="solid">
        <fgColor indexed="14"/>
        <bgColor indexed="64"/>
      </patternFill>
    </fill>
    <fill>
      <patternFill patternType="solid">
        <fgColor indexed="23"/>
        <bgColor indexed="64"/>
      </patternFill>
    </fill>
    <fill>
      <patternFill patternType="solid">
        <fgColor indexed="46"/>
        <bgColor indexed="64"/>
      </patternFill>
    </fill>
    <fill>
      <patternFill patternType="solid">
        <fgColor theme="0" tint="-4.9989318521683403E-2"/>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s>
  <cellStyleXfs count="1">
    <xf numFmtId="0" fontId="0" fillId="0" borderId="0"/>
  </cellStyleXfs>
  <cellXfs count="222">
    <xf numFmtId="0" fontId="0" fillId="0" borderId="0" xfId="0"/>
    <xf numFmtId="0" fontId="2" fillId="0" borderId="0" xfId="0"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0" fillId="0" borderId="0" xfId="0" applyAlignment="1">
      <alignment horizontal="center"/>
    </xf>
    <xf numFmtId="0" fontId="0" fillId="0" borderId="9" xfId="0" applyBorder="1"/>
    <xf numFmtId="164" fontId="3" fillId="0" borderId="10" xfId="0" applyNumberFormat="1" applyFont="1" applyBorder="1" applyAlignment="1">
      <alignment horizontal="center"/>
    </xf>
    <xf numFmtId="164" fontId="3" fillId="0" borderId="11" xfId="0" applyNumberFormat="1" applyFont="1" applyBorder="1" applyAlignment="1">
      <alignment horizontal="center"/>
    </xf>
    <xf numFmtId="164" fontId="3" fillId="0" borderId="12" xfId="0" applyNumberFormat="1" applyFont="1" applyBorder="1" applyAlignment="1">
      <alignment horizontal="center"/>
    </xf>
    <xf numFmtId="164" fontId="3" fillId="0" borderId="0" xfId="0" applyNumberFormat="1" applyFont="1" applyBorder="1" applyAlignment="1">
      <alignment horizontal="center"/>
    </xf>
    <xf numFmtId="164" fontId="3" fillId="0" borderId="13" xfId="0" applyNumberFormat="1" applyFont="1" applyBorder="1" applyAlignment="1">
      <alignment horizontal="center"/>
    </xf>
    <xf numFmtId="164" fontId="3" fillId="0" borderId="14" xfId="0" applyNumberFormat="1" applyFont="1" applyBorder="1" applyAlignment="1">
      <alignment horizontal="center"/>
    </xf>
    <xf numFmtId="164" fontId="3" fillId="0" borderId="15" xfId="0" applyNumberFormat="1" applyFont="1" applyBorder="1" applyAlignment="1">
      <alignment horizontal="center"/>
    </xf>
    <xf numFmtId="164" fontId="3" fillId="0" borderId="16" xfId="0" applyNumberFormat="1" applyFont="1" applyBorder="1" applyAlignment="1">
      <alignment horizontal="center"/>
    </xf>
    <xf numFmtId="164" fontId="3" fillId="0" borderId="17" xfId="0" applyNumberFormat="1" applyFont="1" applyBorder="1" applyAlignment="1">
      <alignment horizontal="center"/>
    </xf>
    <xf numFmtId="0" fontId="2" fillId="2" borderId="18" xfId="0" applyFont="1" applyFill="1" applyBorder="1" applyAlignment="1">
      <alignment horizontal="center"/>
    </xf>
    <xf numFmtId="0" fontId="2" fillId="2" borderId="1" xfId="0" applyFont="1" applyFill="1" applyBorder="1" applyAlignment="1">
      <alignment horizontal="center"/>
    </xf>
    <xf numFmtId="0" fontId="2" fillId="2" borderId="19" xfId="0" applyFont="1" applyFill="1" applyBorder="1" applyAlignment="1">
      <alignment horizontal="center"/>
    </xf>
    <xf numFmtId="0" fontId="2" fillId="2" borderId="9" xfId="0" applyFont="1" applyFill="1" applyBorder="1" applyAlignment="1">
      <alignment horizontal="center"/>
    </xf>
    <xf numFmtId="0" fontId="2" fillId="3" borderId="0" xfId="0" applyFont="1" applyFill="1" applyAlignment="1">
      <alignment horizontal="center"/>
    </xf>
    <xf numFmtId="0" fontId="2" fillId="3" borderId="0" xfId="0" applyFont="1" applyFill="1" applyAlignment="1">
      <alignment horizontal="left"/>
    </xf>
    <xf numFmtId="0" fontId="4" fillId="3" borderId="0" xfId="0" applyFont="1" applyFill="1" applyAlignment="1">
      <alignment horizontal="left"/>
    </xf>
    <xf numFmtId="0" fontId="5" fillId="4" borderId="20" xfId="0" applyFont="1" applyFill="1" applyBorder="1" applyAlignment="1">
      <alignment horizontal="center"/>
    </xf>
    <xf numFmtId="0" fontId="5" fillId="4" borderId="21" xfId="0" applyFont="1" applyFill="1" applyBorder="1" applyAlignment="1">
      <alignment horizontal="center"/>
    </xf>
    <xf numFmtId="0" fontId="5" fillId="4" borderId="22" xfId="0" applyFont="1" applyFill="1" applyBorder="1" applyAlignment="1">
      <alignment horizontal="center"/>
    </xf>
    <xf numFmtId="0" fontId="5" fillId="4" borderId="23" xfId="0" applyFont="1" applyFill="1" applyBorder="1" applyAlignment="1">
      <alignment horizontal="center"/>
    </xf>
    <xf numFmtId="0" fontId="5" fillId="4" borderId="24" xfId="0" applyFont="1" applyFill="1" applyBorder="1" applyAlignment="1">
      <alignment horizontal="center"/>
    </xf>
    <xf numFmtId="0" fontId="5" fillId="4" borderId="25" xfId="0" applyFont="1" applyFill="1" applyBorder="1" applyAlignment="1">
      <alignment horizontal="center"/>
    </xf>
    <xf numFmtId="0" fontId="5" fillId="4" borderId="26" xfId="0" applyFont="1" applyFill="1" applyBorder="1" applyAlignment="1">
      <alignment horizontal="center"/>
    </xf>
    <xf numFmtId="0" fontId="5" fillId="4" borderId="27" xfId="0" applyFont="1" applyFill="1" applyBorder="1" applyAlignment="1">
      <alignment horizontal="center"/>
    </xf>
    <xf numFmtId="0" fontId="5" fillId="4" borderId="28" xfId="0" applyFont="1" applyFill="1" applyBorder="1" applyAlignment="1">
      <alignment horizontal="center"/>
    </xf>
    <xf numFmtId="0" fontId="2" fillId="3" borderId="12" xfId="0" applyFont="1" applyFill="1" applyBorder="1" applyAlignment="1">
      <alignment horizontal="center"/>
    </xf>
    <xf numFmtId="0" fontId="6" fillId="3" borderId="0" xfId="0" applyFont="1" applyFill="1" applyAlignment="1">
      <alignment horizontal="left"/>
    </xf>
    <xf numFmtId="0" fontId="4" fillId="5" borderId="1" xfId="0" applyFont="1" applyFill="1" applyBorder="1" applyAlignment="1">
      <alignment horizontal="left"/>
    </xf>
    <xf numFmtId="0" fontId="2" fillId="5" borderId="2" xfId="0" applyFont="1" applyFill="1" applyBorder="1" applyAlignment="1">
      <alignment horizontal="center"/>
    </xf>
    <xf numFmtId="0" fontId="2" fillId="5" borderId="3" xfId="0" applyFont="1" applyFill="1" applyBorder="1" applyAlignment="1">
      <alignment horizontal="center"/>
    </xf>
    <xf numFmtId="0" fontId="4" fillId="5" borderId="4" xfId="0" applyFont="1" applyFill="1" applyBorder="1" applyAlignment="1">
      <alignment horizontal="left"/>
    </xf>
    <xf numFmtId="0" fontId="2" fillId="5" borderId="0" xfId="0" applyFont="1" applyFill="1" applyBorder="1" applyAlignment="1">
      <alignment horizontal="center"/>
    </xf>
    <xf numFmtId="0" fontId="2" fillId="5" borderId="5" xfId="0" applyFont="1" applyFill="1" applyBorder="1" applyAlignment="1">
      <alignment horizontal="center"/>
    </xf>
    <xf numFmtId="0" fontId="2" fillId="5" borderId="4" xfId="0" applyFont="1" applyFill="1" applyBorder="1" applyAlignment="1">
      <alignment horizontal="center"/>
    </xf>
    <xf numFmtId="0" fontId="2" fillId="5" borderId="6" xfId="0" applyFont="1" applyFill="1" applyBorder="1" applyAlignment="1">
      <alignment horizontal="center"/>
    </xf>
    <xf numFmtId="0" fontId="2" fillId="5" borderId="7" xfId="0" applyFont="1" applyFill="1" applyBorder="1" applyAlignment="1">
      <alignment horizontal="center"/>
    </xf>
    <xf numFmtId="0" fontId="2" fillId="5" borderId="8" xfId="0" applyFont="1" applyFill="1" applyBorder="1" applyAlignment="1">
      <alignment horizontal="center"/>
    </xf>
    <xf numFmtId="0" fontId="3" fillId="3" borderId="29" xfId="0" applyFont="1" applyFill="1" applyBorder="1" applyAlignment="1">
      <alignment horizontal="center"/>
    </xf>
    <xf numFmtId="0" fontId="3" fillId="3" borderId="30" xfId="0" applyFont="1" applyFill="1" applyBorder="1" applyAlignment="1">
      <alignment horizontal="center"/>
    </xf>
    <xf numFmtId="0" fontId="3" fillId="3" borderId="31" xfId="0" applyFont="1" applyFill="1" applyBorder="1" applyAlignment="1">
      <alignment horizontal="center"/>
    </xf>
    <xf numFmtId="0" fontId="3" fillId="3" borderId="32" xfId="0" applyFont="1" applyFill="1" applyBorder="1" applyAlignment="1">
      <alignment horizontal="center"/>
    </xf>
    <xf numFmtId="0" fontId="3" fillId="3" borderId="9" xfId="0" applyFont="1" applyFill="1" applyBorder="1" applyAlignment="1">
      <alignment horizontal="center"/>
    </xf>
    <xf numFmtId="0" fontId="3" fillId="3" borderId="33" xfId="0" applyFont="1" applyFill="1" applyBorder="1" applyAlignment="1">
      <alignment horizontal="center"/>
    </xf>
    <xf numFmtId="0" fontId="3" fillId="3" borderId="34" xfId="0" applyFont="1" applyFill="1" applyBorder="1" applyAlignment="1">
      <alignment horizontal="center"/>
    </xf>
    <xf numFmtId="0" fontId="3" fillId="3" borderId="35" xfId="0" applyFont="1" applyFill="1" applyBorder="1" applyAlignment="1">
      <alignment horizontal="center"/>
    </xf>
    <xf numFmtId="0" fontId="3" fillId="3" borderId="36" xfId="0" applyFont="1" applyFill="1" applyBorder="1" applyAlignment="1">
      <alignment horizontal="center"/>
    </xf>
    <xf numFmtId="0" fontId="2" fillId="0" borderId="0" xfId="0" applyFont="1"/>
    <xf numFmtId="0" fontId="5" fillId="4" borderId="37" xfId="0" applyFont="1" applyFill="1" applyBorder="1" applyAlignment="1">
      <alignment horizontal="center"/>
    </xf>
    <xf numFmtId="0" fontId="5" fillId="4" borderId="38" xfId="0" applyFont="1" applyFill="1" applyBorder="1" applyAlignment="1">
      <alignment horizontal="center"/>
    </xf>
    <xf numFmtId="0" fontId="5" fillId="4" borderId="39" xfId="0" applyFont="1" applyFill="1" applyBorder="1" applyAlignment="1">
      <alignment horizontal="center"/>
    </xf>
    <xf numFmtId="0" fontId="5" fillId="4" borderId="40" xfId="0" applyFont="1" applyFill="1" applyBorder="1" applyAlignment="1">
      <alignment horizontal="center"/>
    </xf>
    <xf numFmtId="0" fontId="5" fillId="4" borderId="4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41" xfId="0" applyFont="1" applyFill="1" applyBorder="1" applyAlignment="1">
      <alignment horizontal="center"/>
    </xf>
    <xf numFmtId="0" fontId="2" fillId="3" borderId="0" xfId="0" quotePrefix="1" applyFont="1" applyFill="1" applyAlignment="1">
      <alignment horizontal="center"/>
    </xf>
    <xf numFmtId="0" fontId="4" fillId="6" borderId="1" xfId="0" applyFont="1" applyFill="1" applyBorder="1" applyAlignment="1">
      <alignment horizontal="left"/>
    </xf>
    <xf numFmtId="0" fontId="2" fillId="6" borderId="2" xfId="0" applyFont="1" applyFill="1" applyBorder="1" applyAlignment="1">
      <alignment horizontal="center"/>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0" xfId="0" applyFont="1" applyFill="1" applyBorder="1" applyAlignment="1">
      <alignment horizontal="center"/>
    </xf>
    <xf numFmtId="0" fontId="2" fillId="6" borderId="5" xfId="0" applyFont="1" applyFill="1" applyBorder="1" applyAlignment="1">
      <alignment horizontal="center"/>
    </xf>
    <xf numFmtId="0" fontId="5" fillId="4" borderId="42" xfId="0" applyFont="1" applyFill="1" applyBorder="1" applyAlignment="1">
      <alignment horizontal="center"/>
    </xf>
    <xf numFmtId="0" fontId="5" fillId="4" borderId="43" xfId="0" applyFont="1" applyFill="1" applyBorder="1" applyAlignment="1">
      <alignment horizontal="center"/>
    </xf>
    <xf numFmtId="0" fontId="5" fillId="4" borderId="44" xfId="0" applyFont="1" applyFill="1" applyBorder="1" applyAlignment="1">
      <alignment horizontal="center"/>
    </xf>
    <xf numFmtId="0" fontId="5" fillId="4" borderId="45" xfId="0" applyFont="1" applyFill="1" applyBorder="1" applyAlignment="1">
      <alignment horizontal="center"/>
    </xf>
    <xf numFmtId="0" fontId="0" fillId="7" borderId="9" xfId="0" applyFill="1" applyBorder="1"/>
    <xf numFmtId="0" fontId="2" fillId="8" borderId="46" xfId="0" applyFont="1" applyFill="1" applyBorder="1" applyAlignment="1">
      <alignment horizontal="center"/>
    </xf>
    <xf numFmtId="0" fontId="2" fillId="8" borderId="47" xfId="0" applyFont="1" applyFill="1" applyBorder="1" applyAlignment="1">
      <alignment horizontal="center"/>
    </xf>
    <xf numFmtId="0" fontId="2" fillId="8" borderId="48" xfId="0" applyFont="1" applyFill="1" applyBorder="1" applyAlignment="1">
      <alignment horizontal="center"/>
    </xf>
    <xf numFmtId="0" fontId="2" fillId="8" borderId="49" xfId="0" applyFont="1" applyFill="1" applyBorder="1" applyAlignment="1">
      <alignment horizontal="center"/>
    </xf>
    <xf numFmtId="0" fontId="2" fillId="8" borderId="9" xfId="0" applyFont="1" applyFill="1" applyBorder="1" applyAlignment="1">
      <alignment horizontal="center"/>
    </xf>
    <xf numFmtId="0" fontId="2" fillId="8" borderId="50" xfId="0" applyFont="1" applyFill="1" applyBorder="1" applyAlignment="1">
      <alignment horizontal="center"/>
    </xf>
    <xf numFmtId="0" fontId="2" fillId="8" borderId="51" xfId="0" applyFont="1" applyFill="1" applyBorder="1" applyAlignment="1">
      <alignment horizontal="center"/>
    </xf>
    <xf numFmtId="0" fontId="2" fillId="8" borderId="52" xfId="0" applyFont="1" applyFill="1" applyBorder="1" applyAlignment="1">
      <alignment horizontal="center"/>
    </xf>
    <xf numFmtId="0" fontId="2" fillId="8" borderId="53" xfId="0" applyFont="1" applyFill="1" applyBorder="1" applyAlignment="1">
      <alignment horizontal="center"/>
    </xf>
    <xf numFmtId="0" fontId="2" fillId="9" borderId="54" xfId="0" applyFont="1" applyFill="1" applyBorder="1" applyAlignment="1">
      <alignment horizontal="center"/>
    </xf>
    <xf numFmtId="0" fontId="2" fillId="9" borderId="55" xfId="0" applyFont="1" applyFill="1" applyBorder="1" applyAlignment="1">
      <alignment horizontal="center"/>
    </xf>
    <xf numFmtId="0" fontId="2" fillId="9" borderId="56" xfId="0" applyFont="1" applyFill="1" applyBorder="1" applyAlignment="1">
      <alignment horizontal="center"/>
    </xf>
    <xf numFmtId="0" fontId="2" fillId="9" borderId="57" xfId="0" applyFont="1" applyFill="1" applyBorder="1" applyAlignment="1">
      <alignment horizontal="center"/>
    </xf>
    <xf numFmtId="0" fontId="2" fillId="9" borderId="58" xfId="0" applyFont="1" applyFill="1" applyBorder="1" applyAlignment="1">
      <alignment horizontal="center"/>
    </xf>
    <xf numFmtId="0" fontId="2" fillId="5" borderId="59" xfId="0" applyFont="1" applyFill="1" applyBorder="1" applyAlignment="1">
      <alignment horizontal="center"/>
    </xf>
    <xf numFmtId="0" fontId="2" fillId="5" borderId="60" xfId="0" applyFont="1" applyFill="1" applyBorder="1" applyAlignment="1">
      <alignment horizontal="center"/>
    </xf>
    <xf numFmtId="0" fontId="2" fillId="5" borderId="61" xfId="0" applyFont="1" applyFill="1" applyBorder="1" applyAlignment="1">
      <alignment horizontal="center"/>
    </xf>
    <xf numFmtId="0" fontId="2" fillId="5" borderId="62" xfId="0" applyFont="1" applyFill="1" applyBorder="1" applyAlignment="1">
      <alignment horizontal="center"/>
    </xf>
    <xf numFmtId="0" fontId="2" fillId="5" borderId="63" xfId="0" applyFont="1" applyFill="1" applyBorder="1" applyAlignment="1">
      <alignment horizontal="center"/>
    </xf>
    <xf numFmtId="0" fontId="2" fillId="2" borderId="11" xfId="0" applyFont="1" applyFill="1" applyBorder="1" applyAlignment="1">
      <alignment horizontal="center"/>
    </xf>
    <xf numFmtId="0" fontId="2" fillId="2" borderId="0" xfId="0" applyFont="1" applyFill="1" applyAlignment="1">
      <alignment horizontal="center"/>
    </xf>
    <xf numFmtId="0" fontId="4" fillId="2" borderId="0" xfId="0" applyFont="1" applyFill="1" applyAlignment="1">
      <alignment horizontal="left"/>
    </xf>
    <xf numFmtId="0" fontId="2" fillId="2" borderId="0" xfId="0" applyFont="1" applyFill="1" applyAlignment="1">
      <alignment horizontal="left"/>
    </xf>
    <xf numFmtId="0" fontId="2" fillId="2" borderId="13" xfId="0" applyFont="1" applyFill="1" applyBorder="1" applyAlignment="1">
      <alignment horizontal="center"/>
    </xf>
    <xf numFmtId="164" fontId="3" fillId="0" borderId="41" xfId="0" applyNumberFormat="1" applyFont="1" applyBorder="1" applyAlignment="1">
      <alignment horizontal="center"/>
    </xf>
    <xf numFmtId="0" fontId="5" fillId="4" borderId="64" xfId="0" applyFont="1" applyFill="1" applyBorder="1" applyAlignment="1">
      <alignment horizontal="center"/>
    </xf>
    <xf numFmtId="0" fontId="5" fillId="4" borderId="65" xfId="0" applyFont="1" applyFill="1" applyBorder="1" applyAlignment="1">
      <alignment horizontal="center"/>
    </xf>
    <xf numFmtId="0" fontId="2" fillId="4" borderId="12" xfId="0" applyFont="1" applyFill="1" applyBorder="1" applyAlignment="1">
      <alignment horizontal="center"/>
    </xf>
    <xf numFmtId="0" fontId="2" fillId="4" borderId="0" xfId="0" applyFont="1" applyFill="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3" xfId="0" applyFont="1" applyFill="1" applyBorder="1" applyAlignment="1">
      <alignment horizontal="center"/>
    </xf>
    <xf numFmtId="0" fontId="2" fillId="4" borderId="15" xfId="0" applyFont="1" applyFill="1" applyBorder="1" applyAlignment="1">
      <alignment horizontal="center"/>
    </xf>
    <xf numFmtId="0" fontId="2" fillId="4" borderId="16" xfId="0" applyFont="1" applyFill="1" applyBorder="1" applyAlignment="1">
      <alignment horizontal="center"/>
    </xf>
    <xf numFmtId="0" fontId="2" fillId="4" borderId="17" xfId="0" applyFont="1" applyFill="1" applyBorder="1" applyAlignment="1">
      <alignment horizontal="center"/>
    </xf>
    <xf numFmtId="0" fontId="4" fillId="4" borderId="0" xfId="0" applyFont="1" applyFill="1" applyAlignment="1">
      <alignment horizontal="left"/>
    </xf>
    <xf numFmtId="0" fontId="5" fillId="10" borderId="22" xfId="0" applyFont="1" applyFill="1" applyBorder="1" applyAlignment="1">
      <alignment horizontal="center"/>
    </xf>
    <xf numFmtId="0" fontId="5" fillId="5" borderId="23" xfId="0" applyFont="1" applyFill="1" applyBorder="1" applyAlignment="1">
      <alignment horizontal="center"/>
    </xf>
    <xf numFmtId="0" fontId="5" fillId="5" borderId="24" xfId="0" applyFont="1" applyFill="1" applyBorder="1" applyAlignment="1">
      <alignment horizontal="center"/>
    </xf>
    <xf numFmtId="0" fontId="5" fillId="5" borderId="25" xfId="0" applyFont="1" applyFill="1" applyBorder="1" applyAlignment="1">
      <alignment horizontal="center"/>
    </xf>
    <xf numFmtId="0" fontId="5" fillId="5" borderId="26" xfId="0" applyFont="1" applyFill="1" applyBorder="1" applyAlignment="1">
      <alignment horizontal="center"/>
    </xf>
    <xf numFmtId="0" fontId="5" fillId="5" borderId="27" xfId="0" applyFont="1" applyFill="1" applyBorder="1" applyAlignment="1">
      <alignment horizontal="center"/>
    </xf>
    <xf numFmtId="0" fontId="5" fillId="5" borderId="28" xfId="0" applyFont="1" applyFill="1" applyBorder="1" applyAlignment="1">
      <alignment horizontal="center"/>
    </xf>
    <xf numFmtId="0" fontId="5" fillId="5" borderId="20" xfId="0" applyFont="1" applyFill="1" applyBorder="1" applyAlignment="1">
      <alignment horizontal="center"/>
    </xf>
    <xf numFmtId="0" fontId="5" fillId="5" borderId="21" xfId="0" applyFont="1" applyFill="1" applyBorder="1" applyAlignment="1">
      <alignment horizontal="center"/>
    </xf>
    <xf numFmtId="0" fontId="5" fillId="5" borderId="22" xfId="0" applyFont="1" applyFill="1" applyBorder="1" applyAlignment="1">
      <alignment horizontal="center"/>
    </xf>
    <xf numFmtId="0" fontId="5" fillId="10" borderId="28" xfId="0" applyFont="1" applyFill="1" applyBorder="1" applyAlignment="1">
      <alignment horizontal="center"/>
    </xf>
    <xf numFmtId="0" fontId="5" fillId="10" borderId="24" xfId="0" applyFont="1" applyFill="1" applyBorder="1" applyAlignment="1">
      <alignment horizontal="center"/>
    </xf>
    <xf numFmtId="0" fontId="5" fillId="10" borderId="26" xfId="0" applyFont="1" applyFill="1" applyBorder="1" applyAlignment="1">
      <alignment horizontal="center"/>
    </xf>
    <xf numFmtId="0" fontId="10" fillId="4" borderId="27" xfId="0" applyFont="1" applyFill="1" applyBorder="1" applyAlignment="1">
      <alignment horizontal="right"/>
    </xf>
    <xf numFmtId="0" fontId="10" fillId="4" borderId="28" xfId="0" applyFont="1" applyFill="1" applyBorder="1" applyAlignment="1">
      <alignment horizontal="right"/>
    </xf>
    <xf numFmtId="0" fontId="5" fillId="11" borderId="23" xfId="0" applyFont="1" applyFill="1" applyBorder="1" applyAlignment="1">
      <alignment horizontal="center"/>
    </xf>
    <xf numFmtId="0" fontId="5" fillId="11" borderId="24" xfId="0" applyFont="1" applyFill="1" applyBorder="1" applyAlignment="1">
      <alignment horizontal="center"/>
    </xf>
    <xf numFmtId="0" fontId="5" fillId="11" borderId="25" xfId="0" applyFont="1" applyFill="1" applyBorder="1" applyAlignment="1">
      <alignment horizontal="center"/>
    </xf>
    <xf numFmtId="0" fontId="10" fillId="11" borderId="24" xfId="0" applyFont="1" applyFill="1" applyBorder="1" applyAlignment="1">
      <alignment horizontal="right"/>
    </xf>
    <xf numFmtId="0" fontId="10" fillId="11" borderId="25" xfId="0" applyFont="1" applyFill="1" applyBorder="1" applyAlignment="1">
      <alignment horizontal="right"/>
    </xf>
    <xf numFmtId="0" fontId="5" fillId="11" borderId="21" xfId="0" applyFont="1" applyFill="1" applyBorder="1" applyAlignment="1">
      <alignment horizontal="center"/>
    </xf>
    <xf numFmtId="0" fontId="5" fillId="11" borderId="22" xfId="0" applyFont="1" applyFill="1" applyBorder="1" applyAlignment="1">
      <alignment horizontal="center"/>
    </xf>
    <xf numFmtId="0" fontId="5" fillId="11" borderId="20" xfId="0" applyFont="1" applyFill="1" applyBorder="1" applyAlignment="1">
      <alignment horizontal="center"/>
    </xf>
    <xf numFmtId="0" fontId="5" fillId="10" borderId="20" xfId="0" applyFont="1" applyFill="1" applyBorder="1" applyAlignment="1">
      <alignment horizontal="center"/>
    </xf>
    <xf numFmtId="0" fontId="10" fillId="12" borderId="21" xfId="0" applyFont="1" applyFill="1" applyBorder="1" applyAlignment="1">
      <alignment horizontal="right"/>
    </xf>
    <xf numFmtId="0" fontId="10" fillId="12" borderId="24" xfId="0" applyFont="1" applyFill="1" applyBorder="1" applyAlignment="1">
      <alignment horizontal="right"/>
    </xf>
    <xf numFmtId="0" fontId="11" fillId="13" borderId="24" xfId="0" applyFont="1" applyFill="1" applyBorder="1" applyAlignment="1">
      <alignment horizontal="center"/>
    </xf>
    <xf numFmtId="0" fontId="11" fillId="13" borderId="27" xfId="0" applyFont="1" applyFill="1" applyBorder="1" applyAlignment="1">
      <alignment horizontal="center"/>
    </xf>
    <xf numFmtId="0" fontId="10" fillId="14" borderId="20" xfId="0" applyFont="1" applyFill="1" applyBorder="1" applyAlignment="1">
      <alignment horizontal="right"/>
    </xf>
    <xf numFmtId="0" fontId="10" fillId="14" borderId="22" xfId="0" applyFont="1" applyFill="1" applyBorder="1" applyAlignment="1">
      <alignment horizontal="right"/>
    </xf>
    <xf numFmtId="0" fontId="11" fillId="10" borderId="22" xfId="0" applyFont="1" applyFill="1" applyBorder="1" applyAlignment="1">
      <alignment horizontal="center"/>
    </xf>
    <xf numFmtId="0" fontId="2" fillId="4" borderId="0" xfId="0" applyFont="1" applyFill="1" applyAlignment="1">
      <alignment horizontal="left"/>
    </xf>
    <xf numFmtId="0" fontId="3" fillId="4" borderId="0" xfId="0" applyFont="1" applyFill="1" applyAlignment="1">
      <alignment horizontal="left"/>
    </xf>
    <xf numFmtId="0" fontId="16" fillId="3" borderId="0" xfId="0" applyFont="1" applyFill="1" applyAlignment="1">
      <alignment horizontal="left"/>
    </xf>
    <xf numFmtId="0" fontId="2" fillId="4" borderId="0" xfId="0" applyFont="1" applyFill="1" applyAlignment="1">
      <alignment horizontal="left" vertical="top"/>
    </xf>
    <xf numFmtId="0" fontId="4" fillId="3" borderId="0" xfId="0" applyFont="1" applyFill="1" applyAlignment="1">
      <alignment horizontal="center"/>
    </xf>
    <xf numFmtId="0" fontId="4" fillId="17" borderId="1" xfId="0" applyFont="1" applyFill="1" applyBorder="1" applyAlignment="1">
      <alignment horizontal="left"/>
    </xf>
    <xf numFmtId="0" fontId="4" fillId="17" borderId="4" xfId="0" applyFont="1" applyFill="1" applyBorder="1" applyAlignment="1">
      <alignment horizontal="left"/>
    </xf>
    <xf numFmtId="0" fontId="2" fillId="17" borderId="4" xfId="0" applyFont="1" applyFill="1" applyBorder="1" applyAlignment="1">
      <alignment horizontal="left"/>
    </xf>
    <xf numFmtId="0" fontId="2" fillId="17" borderId="4" xfId="0" applyFont="1" applyFill="1" applyBorder="1" applyAlignment="1">
      <alignment horizontal="center"/>
    </xf>
    <xf numFmtId="0" fontId="2" fillId="17" borderId="6" xfId="0" applyFont="1" applyFill="1" applyBorder="1" applyAlignment="1">
      <alignment horizontal="center"/>
    </xf>
    <xf numFmtId="0" fontId="2" fillId="17" borderId="2" xfId="0" applyFont="1" applyFill="1" applyBorder="1" applyAlignment="1">
      <alignment horizontal="center"/>
    </xf>
    <xf numFmtId="0" fontId="2" fillId="17" borderId="3" xfId="0" applyFont="1" applyFill="1" applyBorder="1" applyAlignment="1">
      <alignment horizontal="center"/>
    </xf>
    <xf numFmtId="0" fontId="2" fillId="17" borderId="0" xfId="0" applyFont="1" applyFill="1" applyBorder="1" applyAlignment="1">
      <alignment horizontal="center"/>
    </xf>
    <xf numFmtId="0" fontId="2" fillId="17" borderId="5" xfId="0" applyFont="1" applyFill="1" applyBorder="1" applyAlignment="1">
      <alignment horizontal="center"/>
    </xf>
    <xf numFmtId="0" fontId="2" fillId="17" borderId="8" xfId="0" applyFont="1" applyFill="1" applyBorder="1" applyAlignment="1">
      <alignment horizontal="center"/>
    </xf>
    <xf numFmtId="0" fontId="2" fillId="17" borderId="7" xfId="0" applyFont="1" applyFill="1" applyBorder="1" applyAlignment="1">
      <alignment horizontal="center"/>
    </xf>
    <xf numFmtId="0" fontId="8" fillId="4" borderId="9" xfId="0" applyFont="1" applyFill="1" applyBorder="1" applyAlignment="1">
      <alignment horizontal="center" vertical="center"/>
    </xf>
    <xf numFmtId="0" fontId="7" fillId="0" borderId="9" xfId="0" applyFont="1" applyBorder="1" applyAlignment="1">
      <alignment horizontal="center" vertical="center"/>
    </xf>
    <xf numFmtId="0" fontId="7" fillId="0" borderId="35" xfId="0" applyFont="1" applyBorder="1" applyAlignment="1">
      <alignment horizontal="center" vertical="center"/>
    </xf>
    <xf numFmtId="0" fontId="8" fillId="4" borderId="30" xfId="0" applyFont="1" applyFill="1" applyBorder="1" applyAlignment="1">
      <alignment horizontal="center" vertical="center"/>
    </xf>
    <xf numFmtId="0" fontId="7" fillId="0" borderId="31" xfId="0" applyFont="1" applyBorder="1" applyAlignment="1">
      <alignment horizontal="center" vertical="center"/>
    </xf>
    <xf numFmtId="0" fontId="7" fillId="0" borderId="33" xfId="0" applyFont="1" applyBorder="1" applyAlignment="1">
      <alignment horizontal="center" vertical="center"/>
    </xf>
    <xf numFmtId="0" fontId="7" fillId="0" borderId="36" xfId="0" applyFont="1" applyBorder="1" applyAlignment="1">
      <alignment horizontal="center" vertical="center"/>
    </xf>
    <xf numFmtId="0" fontId="8" fillId="9" borderId="9" xfId="0" applyFont="1" applyFill="1" applyBorder="1" applyAlignment="1">
      <alignment horizontal="center" vertical="center"/>
    </xf>
    <xf numFmtId="0" fontId="7" fillId="9" borderId="33" xfId="0" applyFont="1" applyFill="1" applyBorder="1" applyAlignment="1">
      <alignment horizontal="center" vertical="center"/>
    </xf>
    <xf numFmtId="0" fontId="7" fillId="9" borderId="9" xfId="0" applyFont="1" applyFill="1" applyBorder="1" applyAlignment="1">
      <alignment horizontal="center" vertical="center"/>
    </xf>
    <xf numFmtId="0" fontId="7" fillId="0" borderId="30" xfId="0" applyFont="1" applyBorder="1" applyAlignment="1">
      <alignment horizontal="center" vertical="center"/>
    </xf>
    <xf numFmtId="0" fontId="8" fillId="4" borderId="32" xfId="0" applyFont="1" applyFill="1" applyBorder="1" applyAlignment="1">
      <alignment horizontal="center" vertical="center"/>
    </xf>
    <xf numFmtId="0" fontId="7" fillId="0" borderId="32" xfId="0" applyFont="1" applyBorder="1" applyAlignment="1">
      <alignment horizontal="center" vertical="center"/>
    </xf>
    <xf numFmtId="0" fontId="7" fillId="0" borderId="34" xfId="0" applyFont="1" applyBorder="1" applyAlignment="1">
      <alignment horizontal="center" vertical="center"/>
    </xf>
    <xf numFmtId="0" fontId="8" fillId="5" borderId="9" xfId="0" applyFont="1" applyFill="1" applyBorder="1" applyAlignment="1">
      <alignment horizontal="center" vertical="center"/>
    </xf>
    <xf numFmtId="0" fontId="7" fillId="5" borderId="33" xfId="0" applyFont="1" applyFill="1" applyBorder="1" applyAlignment="1">
      <alignment horizontal="center" vertical="center"/>
    </xf>
    <xf numFmtId="0" fontId="7" fillId="5" borderId="35" xfId="0" applyFont="1" applyFill="1" applyBorder="1" applyAlignment="1">
      <alignment horizontal="center" vertical="center"/>
    </xf>
    <xf numFmtId="0" fontId="7" fillId="5" borderId="36" xfId="0" applyFont="1" applyFill="1" applyBorder="1" applyAlignment="1">
      <alignment horizontal="center" vertical="center"/>
    </xf>
    <xf numFmtId="0" fontId="8" fillId="11" borderId="30" xfId="0" applyFont="1" applyFill="1" applyBorder="1" applyAlignment="1">
      <alignment horizontal="center" vertical="center"/>
    </xf>
    <xf numFmtId="0" fontId="7" fillId="11" borderId="31" xfId="0" applyFont="1" applyFill="1" applyBorder="1" applyAlignment="1">
      <alignment horizontal="center" vertical="center"/>
    </xf>
    <xf numFmtId="0" fontId="7" fillId="11" borderId="9" xfId="0" applyFont="1" applyFill="1" applyBorder="1" applyAlignment="1">
      <alignment horizontal="center" vertical="center"/>
    </xf>
    <xf numFmtId="0" fontId="7" fillId="11" borderId="33" xfId="0" applyFont="1" applyFill="1" applyBorder="1" applyAlignment="1">
      <alignment horizontal="center" vertical="center"/>
    </xf>
    <xf numFmtId="0" fontId="8" fillId="15" borderId="9" xfId="0" applyFont="1" applyFill="1" applyBorder="1" applyAlignment="1">
      <alignment horizontal="center" vertical="center"/>
    </xf>
    <xf numFmtId="0" fontId="7" fillId="15" borderId="33" xfId="0" applyFont="1" applyFill="1" applyBorder="1" applyAlignment="1">
      <alignment horizontal="center" vertical="center"/>
    </xf>
    <xf numFmtId="0" fontId="7" fillId="15" borderId="9" xfId="0" applyFont="1" applyFill="1" applyBorder="1" applyAlignment="1">
      <alignment horizontal="center" vertical="center"/>
    </xf>
    <xf numFmtId="0" fontId="8" fillId="11" borderId="9" xfId="0" applyFont="1" applyFill="1" applyBorder="1" applyAlignment="1">
      <alignment horizontal="center" vertical="center"/>
    </xf>
    <xf numFmtId="0" fontId="7" fillId="11" borderId="35" xfId="0" applyFont="1" applyFill="1" applyBorder="1" applyAlignment="1">
      <alignment horizontal="center" vertical="center"/>
    </xf>
    <xf numFmtId="0" fontId="7" fillId="11" borderId="36" xfId="0" applyFont="1" applyFill="1" applyBorder="1" applyAlignment="1">
      <alignment horizontal="center" vertical="center"/>
    </xf>
    <xf numFmtId="0" fontId="8" fillId="5" borderId="30" xfId="0" applyFont="1" applyFill="1" applyBorder="1" applyAlignment="1">
      <alignment horizontal="center" vertical="center"/>
    </xf>
    <xf numFmtId="0" fontId="7" fillId="5" borderId="31" xfId="0" applyFont="1" applyFill="1" applyBorder="1" applyAlignment="1">
      <alignment horizontal="center" vertical="center"/>
    </xf>
    <xf numFmtId="0" fontId="7" fillId="5" borderId="9" xfId="0" applyFont="1" applyFill="1" applyBorder="1" applyAlignment="1">
      <alignment horizontal="center" vertical="center"/>
    </xf>
    <xf numFmtId="0" fontId="8" fillId="4" borderId="29" xfId="0" applyFont="1" applyFill="1" applyBorder="1" applyAlignment="1">
      <alignment horizontal="center" vertical="center"/>
    </xf>
    <xf numFmtId="0" fontId="8" fillId="9" borderId="32" xfId="0" applyFont="1" applyFill="1" applyBorder="1" applyAlignment="1">
      <alignment horizontal="center" vertical="center"/>
    </xf>
    <xf numFmtId="0" fontId="7" fillId="9" borderId="32" xfId="0" applyFont="1" applyFill="1" applyBorder="1" applyAlignment="1">
      <alignment horizontal="center" vertical="center"/>
    </xf>
    <xf numFmtId="0" fontId="8" fillId="8" borderId="9" xfId="0" applyFont="1" applyFill="1" applyBorder="1" applyAlignment="1">
      <alignment horizontal="center" vertical="center"/>
    </xf>
    <xf numFmtId="0" fontId="7" fillId="8" borderId="9" xfId="0" applyFont="1" applyFill="1" applyBorder="1" applyAlignment="1">
      <alignment horizontal="center" vertical="center"/>
    </xf>
    <xf numFmtId="0" fontId="7" fillId="8" borderId="35" xfId="0" applyFont="1" applyFill="1" applyBorder="1" applyAlignment="1">
      <alignment horizontal="center" vertical="center"/>
    </xf>
    <xf numFmtId="0" fontId="8" fillId="8" borderId="29" xfId="0" applyFont="1" applyFill="1" applyBorder="1" applyAlignment="1">
      <alignment horizontal="center" vertical="center"/>
    </xf>
    <xf numFmtId="0" fontId="7" fillId="8" borderId="30" xfId="0" applyFont="1" applyFill="1" applyBorder="1" applyAlignment="1">
      <alignment horizontal="center" vertical="center"/>
    </xf>
    <xf numFmtId="0" fontId="7" fillId="8" borderId="32" xfId="0" applyFont="1" applyFill="1" applyBorder="1" applyAlignment="1">
      <alignment horizontal="center" vertical="center"/>
    </xf>
    <xf numFmtId="0" fontId="8" fillId="16" borderId="32" xfId="0" applyFont="1" applyFill="1" applyBorder="1" applyAlignment="1">
      <alignment horizontal="center" vertical="center"/>
    </xf>
    <xf numFmtId="0" fontId="7" fillId="16" borderId="9" xfId="0" applyFont="1" applyFill="1" applyBorder="1" applyAlignment="1">
      <alignment horizontal="center" vertical="center"/>
    </xf>
    <xf numFmtId="0" fontId="7" fillId="16" borderId="32" xfId="0" applyFont="1" applyFill="1" applyBorder="1" applyAlignment="1">
      <alignment horizontal="center" vertical="center"/>
    </xf>
    <xf numFmtId="0" fontId="8" fillId="8" borderId="30" xfId="0" applyFont="1" applyFill="1" applyBorder="1" applyAlignment="1">
      <alignment horizontal="center" vertical="center"/>
    </xf>
    <xf numFmtId="0" fontId="8" fillId="16" borderId="9" xfId="0" applyFont="1" applyFill="1" applyBorder="1" applyAlignment="1">
      <alignment horizontal="center" vertical="center"/>
    </xf>
    <xf numFmtId="0" fontId="8" fillId="8" borderId="32" xfId="0" applyFont="1" applyFill="1" applyBorder="1" applyAlignment="1">
      <alignment horizontal="center" vertical="center"/>
    </xf>
    <xf numFmtId="0" fontId="7" fillId="8" borderId="34" xfId="0" applyFont="1" applyFill="1" applyBorder="1" applyAlignment="1">
      <alignment horizontal="center" vertical="center"/>
    </xf>
    <xf numFmtId="0" fontId="17" fillId="4" borderId="0" xfId="0" applyFont="1" applyFill="1" applyAlignment="1">
      <alignment horizontal="left" vertical="top" wrapText="1"/>
    </xf>
    <xf numFmtId="0" fontId="15" fillId="0" borderId="0" xfId="0" applyFont="1" applyAlignment="1">
      <alignment horizontal="left" wrapText="1"/>
    </xf>
    <xf numFmtId="0" fontId="2" fillId="4" borderId="0" xfId="0" applyFont="1" applyFill="1" applyAlignment="1">
      <alignment horizontal="left" vertical="top" wrapText="1"/>
    </xf>
    <xf numFmtId="0" fontId="9" fillId="0" borderId="0" xfId="0" applyFont="1" applyAlignment="1">
      <alignment horizontal="left"/>
    </xf>
    <xf numFmtId="0" fontId="9" fillId="0" borderId="0" xfId="0" applyFont="1" applyAlignment="1">
      <alignment horizontal="left" wrapText="1"/>
    </xf>
    <xf numFmtId="0" fontId="0" fillId="0" borderId="0" xfId="0" applyAlignment="1">
      <alignment horizontal="left" vertical="top" wrapText="1"/>
    </xf>
  </cellXfs>
  <cellStyles count="1">
    <cellStyle name="Standard" xfId="0" builtinId="0"/>
  </cellStyles>
  <dxfs count="109">
    <dxf>
      <fill>
        <patternFill>
          <bgColor indexed="11"/>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auto="1"/>
      </font>
      <fill>
        <patternFill>
          <bgColor indexed="13"/>
        </patternFill>
      </fill>
    </dxf>
    <dxf>
      <fill>
        <patternFill>
          <bgColor indexed="52"/>
        </patternFill>
      </fill>
    </dxf>
    <dxf>
      <font>
        <condense val="0"/>
        <extend val="0"/>
        <color indexed="22"/>
      </font>
      <fill>
        <patternFill patternType="none">
          <bgColor indexed="65"/>
        </patternFill>
      </fill>
    </dxf>
    <dxf>
      <fill>
        <patternFill>
          <bgColor indexed="46"/>
        </patternFill>
      </fill>
    </dxf>
    <dxf>
      <fill>
        <patternFill>
          <bgColor indexed="41"/>
        </patternFill>
      </fill>
    </dxf>
    <dxf>
      <fill>
        <patternFill>
          <bgColor indexed="11"/>
        </patternFill>
      </fill>
    </dxf>
    <dxf>
      <fill>
        <patternFill>
          <bgColor indexed="46"/>
        </patternFill>
      </fill>
    </dxf>
    <dxf>
      <fill>
        <patternFill>
          <bgColor indexed="41"/>
        </patternFill>
      </fill>
    </dxf>
    <dxf>
      <fill>
        <patternFill>
          <bgColor indexed="42"/>
        </patternFill>
      </fill>
    </dxf>
    <dxf>
      <fill>
        <patternFill>
          <bgColor indexed="42"/>
        </patternFill>
      </fill>
    </dxf>
    <dxf>
      <font>
        <condense val="0"/>
        <extend val="0"/>
        <color auto="1"/>
      </font>
      <fill>
        <patternFill>
          <bgColor indexed="13"/>
        </patternFill>
      </fill>
    </dxf>
    <dxf>
      <fill>
        <patternFill>
          <bgColor indexed="52"/>
        </patternFill>
      </fill>
    </dxf>
    <dxf>
      <font>
        <condense val="0"/>
        <extend val="0"/>
        <color indexed="22"/>
      </font>
      <fill>
        <patternFill patternType="none">
          <bgColor indexed="65"/>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26</xdr:col>
      <xdr:colOff>200025</xdr:colOff>
      <xdr:row>74</xdr:row>
      <xdr:rowOff>0</xdr:rowOff>
    </xdr:from>
    <xdr:to>
      <xdr:col>30</xdr:col>
      <xdr:colOff>38100</xdr:colOff>
      <xdr:row>76</xdr:row>
      <xdr:rowOff>0</xdr:rowOff>
    </xdr:to>
    <xdr:pic>
      <xdr:nvPicPr>
        <xdr:cNvPr id="1025" name="Picture 1" descr="reiter_sudoku"/>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2039600"/>
          <a:ext cx="7905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BK52"/>
  <sheetViews>
    <sheetView tabSelected="1" zoomScaleNormal="100" workbookViewId="0">
      <selection activeCell="C4" sqref="C4"/>
    </sheetView>
  </sheetViews>
  <sheetFormatPr baseColWidth="10" defaultColWidth="3.5703125" defaultRowHeight="12.75" x14ac:dyDescent="0.2"/>
  <cols>
    <col min="1" max="51" width="2.7109375" style="1" customWidth="1"/>
    <col min="52" max="16384" width="3.5703125" style="1"/>
  </cols>
  <sheetData>
    <row r="1" spans="1:63" ht="19.5" x14ac:dyDescent="0.25">
      <c r="A1" s="26"/>
      <c r="B1" s="155" t="s">
        <v>121</v>
      </c>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row>
    <row r="2" spans="1:63" ht="19.5" x14ac:dyDescent="0.25">
      <c r="A2" s="26"/>
      <c r="B2" s="155" t="s">
        <v>122</v>
      </c>
      <c r="C2" s="26"/>
      <c r="D2" s="26"/>
      <c r="E2" s="26"/>
      <c r="F2" s="26"/>
      <c r="G2" s="26"/>
      <c r="H2" s="26"/>
      <c r="I2" s="26"/>
      <c r="J2" s="26"/>
      <c r="K2" s="26"/>
      <c r="L2" s="26"/>
      <c r="M2" s="26"/>
      <c r="N2" s="26"/>
      <c r="O2" s="27" t="s">
        <v>28</v>
      </c>
      <c r="P2" s="26"/>
      <c r="Q2" s="26"/>
      <c r="R2" s="26"/>
      <c r="S2" s="26"/>
      <c r="T2" s="26"/>
      <c r="U2" s="26"/>
      <c r="V2" s="26"/>
      <c r="W2" s="26"/>
      <c r="X2" s="26"/>
      <c r="Y2" s="26"/>
      <c r="Z2" s="26"/>
      <c r="AA2" s="27" t="s">
        <v>31</v>
      </c>
      <c r="AB2" s="26"/>
      <c r="AC2" s="26"/>
      <c r="AD2" s="26"/>
      <c r="AE2" s="26"/>
      <c r="AF2" s="26"/>
      <c r="AG2" s="26"/>
      <c r="AH2" s="26"/>
      <c r="AI2" s="26"/>
      <c r="AJ2" s="26"/>
      <c r="AK2" s="26"/>
      <c r="AL2" s="26"/>
      <c r="AM2" s="26"/>
      <c r="AN2" s="158"/>
      <c r="AO2" s="163"/>
      <c r="AP2" s="163"/>
      <c r="AQ2" s="163"/>
      <c r="AR2" s="163"/>
      <c r="AS2" s="163"/>
      <c r="AT2" s="163"/>
      <c r="AU2" s="163"/>
      <c r="AV2" s="163"/>
      <c r="AW2" s="163"/>
      <c r="AX2" s="164"/>
      <c r="AY2" s="26"/>
    </row>
    <row r="3" spans="1:63" ht="13.5" thickBot="1" x14ac:dyDescent="0.25">
      <c r="A3" s="26"/>
      <c r="B3" s="26"/>
      <c r="C3" s="22">
        <v>1</v>
      </c>
      <c r="D3" s="22">
        <v>2</v>
      </c>
      <c r="E3" s="22">
        <v>3</v>
      </c>
      <c r="F3" s="22">
        <v>4</v>
      </c>
      <c r="G3" s="22">
        <v>5</v>
      </c>
      <c r="H3" s="22">
        <v>6</v>
      </c>
      <c r="I3" s="22">
        <v>7</v>
      </c>
      <c r="J3" s="22">
        <v>8</v>
      </c>
      <c r="K3" s="22">
        <v>9</v>
      </c>
      <c r="L3" s="26"/>
      <c r="M3" s="26"/>
      <c r="N3" s="26"/>
      <c r="O3" s="26"/>
      <c r="P3" s="22">
        <v>1</v>
      </c>
      <c r="Q3" s="22">
        <v>2</v>
      </c>
      <c r="R3" s="22">
        <v>3</v>
      </c>
      <c r="S3" s="22">
        <v>4</v>
      </c>
      <c r="T3" s="22">
        <v>5</v>
      </c>
      <c r="U3" s="22">
        <v>6</v>
      </c>
      <c r="V3" s="22">
        <v>7</v>
      </c>
      <c r="W3" s="22">
        <v>8</v>
      </c>
      <c r="X3" s="22">
        <v>9</v>
      </c>
      <c r="Y3" s="26"/>
      <c r="Z3" s="26"/>
      <c r="AA3" s="26"/>
      <c r="AB3" s="22">
        <v>1</v>
      </c>
      <c r="AC3" s="22">
        <v>2</v>
      </c>
      <c r="AD3" s="22">
        <v>3</v>
      </c>
      <c r="AE3" s="22">
        <v>4</v>
      </c>
      <c r="AF3" s="22">
        <v>5</v>
      </c>
      <c r="AG3" s="22">
        <v>6</v>
      </c>
      <c r="AH3" s="22">
        <v>7</v>
      </c>
      <c r="AI3" s="22">
        <v>8</v>
      </c>
      <c r="AJ3" s="22">
        <v>9</v>
      </c>
      <c r="AK3" s="26"/>
      <c r="AL3" s="26"/>
      <c r="AM3" s="26"/>
      <c r="AN3" s="159" t="s">
        <v>123</v>
      </c>
      <c r="AO3" s="165"/>
      <c r="AP3" s="165"/>
      <c r="AQ3" s="165"/>
      <c r="AR3" s="165"/>
      <c r="AS3" s="165"/>
      <c r="AT3" s="165"/>
      <c r="AU3" s="165"/>
      <c r="AV3" s="165"/>
      <c r="AW3" s="165"/>
      <c r="AX3" s="166"/>
      <c r="AY3" s="26"/>
    </row>
    <row r="4" spans="1:63" x14ac:dyDescent="0.2">
      <c r="A4" s="26"/>
      <c r="B4" s="22">
        <v>1</v>
      </c>
      <c r="C4" s="29"/>
      <c r="D4" s="30"/>
      <c r="E4" s="31"/>
      <c r="F4" s="29"/>
      <c r="G4" s="30"/>
      <c r="H4" s="31"/>
      <c r="I4" s="29"/>
      <c r="J4" s="30"/>
      <c r="K4" s="31"/>
      <c r="L4" s="26"/>
      <c r="M4" s="26"/>
      <c r="N4" s="26"/>
      <c r="O4" s="24">
        <v>1</v>
      </c>
      <c r="P4" s="13" t="str">
        <f>IF(AND(LEN(AB4) &gt;0, LEN(AB4) &lt;4), VALUE(AB4), IF(C4 &gt;0, -C4, ""))</f>
        <v/>
      </c>
      <c r="Q4" s="14" t="str">
        <f t="shared" ref="Q4:X4" si="0">IF(AND(LEN(AC4) &gt;0, LEN(AC4) &lt;4), VALUE(AC4), IF(D4 &gt;0, -D4, ""))</f>
        <v/>
      </c>
      <c r="R4" s="17" t="str">
        <f t="shared" si="0"/>
        <v/>
      </c>
      <c r="S4" s="13" t="str">
        <f t="shared" si="0"/>
        <v/>
      </c>
      <c r="T4" s="14" t="str">
        <f t="shared" si="0"/>
        <v/>
      </c>
      <c r="U4" s="17" t="str">
        <f t="shared" si="0"/>
        <v/>
      </c>
      <c r="V4" s="13" t="str">
        <f t="shared" si="0"/>
        <v/>
      </c>
      <c r="W4" s="14" t="str">
        <f t="shared" si="0"/>
        <v/>
      </c>
      <c r="X4" s="17" t="str">
        <f t="shared" si="0"/>
        <v/>
      </c>
      <c r="Y4" s="26"/>
      <c r="Z4" s="26"/>
      <c r="AA4" s="24">
        <v>1</v>
      </c>
      <c r="AB4" s="50" t="str">
        <f t="shared" ref="AB4:AB12" si="1">D17&amp;P17&amp;AB17&amp;D29&amp;P29&amp;AB29&amp;D41&amp;P41&amp;AB41</f>
        <v>123456789</v>
      </c>
      <c r="AC4" s="51" t="str">
        <f t="shared" ref="AC4:AC12" si="2">E17&amp;Q17&amp;AC17&amp;E29&amp;Q29&amp;AC29&amp;E41&amp;Q41&amp;AC41</f>
        <v>123456789</v>
      </c>
      <c r="AD4" s="52" t="str">
        <f t="shared" ref="AD4:AD12" si="3">F17&amp;R17&amp;AD17&amp;F29&amp;R29&amp;AD29&amp;F41&amp;R41&amp;AD41</f>
        <v>123456789</v>
      </c>
      <c r="AE4" s="50" t="str">
        <f t="shared" ref="AE4:AE12" si="4">G17&amp;S17&amp;AE17&amp;G29&amp;S29&amp;AE29&amp;G41&amp;S41&amp;AE41</f>
        <v>123456789</v>
      </c>
      <c r="AF4" s="51" t="str">
        <f t="shared" ref="AF4:AF12" si="5">H17&amp;T17&amp;AF17&amp;H29&amp;T29&amp;AF29&amp;H41&amp;T41&amp;AF41</f>
        <v>123456789</v>
      </c>
      <c r="AG4" s="52" t="str">
        <f t="shared" ref="AG4:AG12" si="6">I17&amp;U17&amp;AG17&amp;I29&amp;U29&amp;AG29&amp;I41&amp;U41&amp;AG41</f>
        <v>123456789</v>
      </c>
      <c r="AH4" s="50" t="str">
        <f t="shared" ref="AH4:AH12" si="7">J17&amp;V17&amp;AH17&amp;J29&amp;V29&amp;AH29&amp;J41&amp;V41&amp;AH41</f>
        <v>123456789</v>
      </c>
      <c r="AI4" s="51" t="str">
        <f t="shared" ref="AI4:AI12" si="8">K17&amp;W17&amp;AI17&amp;K29&amp;W29&amp;AI29&amp;K41&amp;W41&amp;AI41</f>
        <v>123456789</v>
      </c>
      <c r="AJ4" s="52" t="str">
        <f t="shared" ref="AJ4:AJ12" si="9">L17&amp;X17&amp;AJ17&amp;L29&amp;X29&amp;AJ29&amp;L41&amp;X41&amp;AJ41</f>
        <v>123456789</v>
      </c>
      <c r="AK4" s="26"/>
      <c r="AL4" s="26"/>
      <c r="AM4" s="26"/>
      <c r="AN4" s="160" t="s">
        <v>124</v>
      </c>
      <c r="AO4" s="165"/>
      <c r="AP4" s="165"/>
      <c r="AQ4" s="165"/>
      <c r="AR4" s="165"/>
      <c r="AS4" s="165"/>
      <c r="AT4" s="165"/>
      <c r="AU4" s="165"/>
      <c r="AV4" s="165"/>
      <c r="AW4" s="165"/>
      <c r="AX4" s="166"/>
      <c r="AY4" s="26"/>
    </row>
    <row r="5" spans="1:63" ht="13.5" thickBot="1" x14ac:dyDescent="0.25">
      <c r="A5" s="26"/>
      <c r="B5" s="22">
        <v>2</v>
      </c>
      <c r="C5" s="32"/>
      <c r="D5" s="33"/>
      <c r="E5" s="34"/>
      <c r="F5" s="32"/>
      <c r="G5" s="33"/>
      <c r="H5" s="34"/>
      <c r="I5" s="32"/>
      <c r="J5" s="33"/>
      <c r="K5" s="34"/>
      <c r="L5" s="26"/>
      <c r="M5" s="26"/>
      <c r="N5" s="26"/>
      <c r="O5" s="24">
        <v>2</v>
      </c>
      <c r="P5" s="15" t="str">
        <f t="shared" ref="P5:P12" si="10">IF(AND(LEN(AB5) &gt;0, LEN(AB5) &lt;4), VALUE(AB5), IF(C5 &gt;0, -C5, ""))</f>
        <v/>
      </c>
      <c r="Q5" s="16" t="str">
        <f t="shared" ref="Q5:Q12" si="11">IF(AND(LEN(AC5) &gt;0, LEN(AC5) &lt;4), VALUE(AC5), IF(D5 &gt;0, -D5, ""))</f>
        <v/>
      </c>
      <c r="R5" s="18" t="str">
        <f t="shared" ref="R5:R12" si="12">IF(AND(LEN(AD5) &gt;0, LEN(AD5) &lt;4), VALUE(AD5), IF(E5 &gt;0, -E5, ""))</f>
        <v/>
      </c>
      <c r="S5" s="15" t="str">
        <f t="shared" ref="S5:S12" si="13">IF(AND(LEN(AE5) &gt;0, LEN(AE5) &lt;4), VALUE(AE5), IF(F5 &gt;0, -F5, ""))</f>
        <v/>
      </c>
      <c r="T5" s="16" t="str">
        <f t="shared" ref="T5:T12" si="14">IF(AND(LEN(AF5) &gt;0, LEN(AF5) &lt;4), VALUE(AF5), IF(G5 &gt;0, -G5, ""))</f>
        <v/>
      </c>
      <c r="U5" s="18" t="str">
        <f t="shared" ref="U5:U12" si="15">IF(AND(LEN(AG5) &gt;0, LEN(AG5) &lt;4), VALUE(AG5), IF(H5 &gt;0, -H5, ""))</f>
        <v/>
      </c>
      <c r="V5" s="15" t="str">
        <f t="shared" ref="V5:V12" si="16">IF(AND(LEN(AH5) &gt;0, LEN(AH5) &lt;4), VALUE(AH5), IF(I5 &gt;0, -I5, ""))</f>
        <v/>
      </c>
      <c r="W5" s="16" t="str">
        <f t="shared" ref="W5:W12" si="17">IF(AND(LEN(AI5) &gt;0, LEN(AI5) &lt;4), VALUE(AI5), IF(J5 &gt;0, -J5, ""))</f>
        <v/>
      </c>
      <c r="X5" s="18" t="str">
        <f t="shared" ref="X5:X12" si="18">IF(AND(LEN(AJ5) &gt;0, LEN(AJ5) &lt;4), VALUE(AJ5), IF(K5 &gt;0, -K5, ""))</f>
        <v/>
      </c>
      <c r="Y5" s="26"/>
      <c r="Z5" s="26"/>
      <c r="AA5" s="24">
        <v>2</v>
      </c>
      <c r="AB5" s="53" t="str">
        <f t="shared" si="1"/>
        <v>123456789</v>
      </c>
      <c r="AC5" s="54" t="str">
        <f t="shared" si="2"/>
        <v>123456789</v>
      </c>
      <c r="AD5" s="55" t="str">
        <f t="shared" si="3"/>
        <v>123456789</v>
      </c>
      <c r="AE5" s="53" t="str">
        <f t="shared" si="4"/>
        <v>123456789</v>
      </c>
      <c r="AF5" s="54" t="str">
        <f t="shared" si="5"/>
        <v>123456789</v>
      </c>
      <c r="AG5" s="55" t="str">
        <f t="shared" si="6"/>
        <v>123456789</v>
      </c>
      <c r="AH5" s="53" t="str">
        <f t="shared" si="7"/>
        <v>123456789</v>
      </c>
      <c r="AI5" s="54" t="str">
        <f t="shared" si="8"/>
        <v>123456789</v>
      </c>
      <c r="AJ5" s="55" t="str">
        <f t="shared" si="9"/>
        <v>123456789</v>
      </c>
      <c r="AK5" s="26"/>
      <c r="AL5" s="26"/>
      <c r="AM5" s="26"/>
      <c r="AN5" s="161"/>
      <c r="AO5" s="165"/>
      <c r="AP5" s="165"/>
      <c r="AQ5" s="165"/>
      <c r="AR5" s="165"/>
      <c r="AS5" s="165"/>
      <c r="AT5" s="165"/>
      <c r="AU5" s="165"/>
      <c r="AV5" s="165"/>
      <c r="AW5" s="165"/>
      <c r="AX5" s="166"/>
      <c r="AY5" s="26"/>
    </row>
    <row r="6" spans="1:63" ht="13.5" thickBot="1" x14ac:dyDescent="0.25">
      <c r="A6" s="26"/>
      <c r="B6" s="22">
        <v>3</v>
      </c>
      <c r="C6" s="35"/>
      <c r="D6" s="36"/>
      <c r="E6" s="37"/>
      <c r="F6" s="35"/>
      <c r="G6" s="36"/>
      <c r="H6" s="37"/>
      <c r="I6" s="35"/>
      <c r="J6" s="36"/>
      <c r="K6" s="37"/>
      <c r="L6" s="26"/>
      <c r="M6" s="26"/>
      <c r="N6" s="26"/>
      <c r="O6" s="24">
        <v>3</v>
      </c>
      <c r="P6" s="19" t="str">
        <f t="shared" si="10"/>
        <v/>
      </c>
      <c r="Q6" s="20" t="str">
        <f t="shared" si="11"/>
        <v/>
      </c>
      <c r="R6" s="21" t="str">
        <f t="shared" si="12"/>
        <v/>
      </c>
      <c r="S6" s="19" t="str">
        <f t="shared" si="13"/>
        <v/>
      </c>
      <c r="T6" s="20" t="str">
        <f t="shared" si="14"/>
        <v/>
      </c>
      <c r="U6" s="21" t="str">
        <f t="shared" si="15"/>
        <v/>
      </c>
      <c r="V6" s="19" t="str">
        <f t="shared" si="16"/>
        <v/>
      </c>
      <c r="W6" s="20" t="str">
        <f t="shared" si="17"/>
        <v/>
      </c>
      <c r="X6" s="21" t="str">
        <f t="shared" si="18"/>
        <v/>
      </c>
      <c r="Y6" s="26"/>
      <c r="Z6" s="26"/>
      <c r="AA6" s="24">
        <v>3</v>
      </c>
      <c r="AB6" s="56" t="str">
        <f t="shared" si="1"/>
        <v>123456789</v>
      </c>
      <c r="AC6" s="57" t="str">
        <f t="shared" si="2"/>
        <v>123456789</v>
      </c>
      <c r="AD6" s="58" t="str">
        <f t="shared" si="3"/>
        <v>123456789</v>
      </c>
      <c r="AE6" s="56" t="str">
        <f t="shared" si="4"/>
        <v>123456789</v>
      </c>
      <c r="AF6" s="57" t="str">
        <f t="shared" si="5"/>
        <v>123456789</v>
      </c>
      <c r="AG6" s="58" t="str">
        <f t="shared" si="6"/>
        <v>123456789</v>
      </c>
      <c r="AH6" s="56" t="str">
        <f t="shared" si="7"/>
        <v>123456789</v>
      </c>
      <c r="AI6" s="57" t="str">
        <f t="shared" si="8"/>
        <v>123456789</v>
      </c>
      <c r="AJ6" s="58" t="str">
        <f t="shared" si="9"/>
        <v>123456789</v>
      </c>
      <c r="AK6" s="26"/>
      <c r="AL6" s="26"/>
      <c r="AM6" s="26"/>
      <c r="AN6" s="161"/>
      <c r="AO6" s="29">
        <v>5</v>
      </c>
      <c r="AP6" s="30">
        <v>3</v>
      </c>
      <c r="AQ6" s="31"/>
      <c r="AR6" s="29"/>
      <c r="AS6" s="30">
        <v>7</v>
      </c>
      <c r="AT6" s="31"/>
      <c r="AU6" s="29"/>
      <c r="AV6" s="30"/>
      <c r="AW6" s="31"/>
      <c r="AX6" s="166"/>
      <c r="AY6" s="26"/>
    </row>
    <row r="7" spans="1:63" x14ac:dyDescent="0.2">
      <c r="A7" s="26"/>
      <c r="B7" s="22">
        <v>4</v>
      </c>
      <c r="C7" s="29"/>
      <c r="D7" s="30"/>
      <c r="E7" s="31"/>
      <c r="F7" s="29"/>
      <c r="G7" s="30"/>
      <c r="H7" s="31"/>
      <c r="I7" s="29"/>
      <c r="J7" s="30"/>
      <c r="K7" s="31"/>
      <c r="L7" s="26"/>
      <c r="M7" s="26"/>
      <c r="N7" s="26"/>
      <c r="O7" s="24">
        <v>4</v>
      </c>
      <c r="P7" s="13" t="str">
        <f t="shared" si="10"/>
        <v/>
      </c>
      <c r="Q7" s="14" t="str">
        <f t="shared" si="11"/>
        <v/>
      </c>
      <c r="R7" s="17" t="str">
        <f t="shared" si="12"/>
        <v/>
      </c>
      <c r="S7" s="13" t="str">
        <f t="shared" si="13"/>
        <v/>
      </c>
      <c r="T7" s="14" t="str">
        <f t="shared" si="14"/>
        <v/>
      </c>
      <c r="U7" s="17" t="str">
        <f t="shared" si="15"/>
        <v/>
      </c>
      <c r="V7" s="13" t="str">
        <f t="shared" si="16"/>
        <v/>
      </c>
      <c r="W7" s="14" t="str">
        <f t="shared" si="17"/>
        <v/>
      </c>
      <c r="X7" s="17" t="str">
        <f t="shared" si="18"/>
        <v/>
      </c>
      <c r="Y7" s="26"/>
      <c r="Z7" s="26"/>
      <c r="AA7" s="24">
        <v>4</v>
      </c>
      <c r="AB7" s="50" t="str">
        <f t="shared" si="1"/>
        <v>123456789</v>
      </c>
      <c r="AC7" s="51" t="str">
        <f t="shared" si="2"/>
        <v>123456789</v>
      </c>
      <c r="AD7" s="52" t="str">
        <f t="shared" si="3"/>
        <v>123456789</v>
      </c>
      <c r="AE7" s="50" t="str">
        <f t="shared" si="4"/>
        <v>123456789</v>
      </c>
      <c r="AF7" s="51" t="str">
        <f t="shared" si="5"/>
        <v>123456789</v>
      </c>
      <c r="AG7" s="52" t="str">
        <f t="shared" si="6"/>
        <v>123456789</v>
      </c>
      <c r="AH7" s="50" t="str">
        <f t="shared" si="7"/>
        <v>123456789</v>
      </c>
      <c r="AI7" s="51" t="str">
        <f t="shared" si="8"/>
        <v>123456789</v>
      </c>
      <c r="AJ7" s="52" t="str">
        <f t="shared" si="9"/>
        <v>123456789</v>
      </c>
      <c r="AK7" s="26"/>
      <c r="AL7" s="26"/>
      <c r="AM7" s="26"/>
      <c r="AN7" s="161"/>
      <c r="AO7" s="32">
        <v>6</v>
      </c>
      <c r="AP7" s="33"/>
      <c r="AQ7" s="34"/>
      <c r="AR7" s="32">
        <v>1</v>
      </c>
      <c r="AS7" s="33">
        <v>9</v>
      </c>
      <c r="AT7" s="34">
        <v>5</v>
      </c>
      <c r="AU7" s="32"/>
      <c r="AV7" s="33"/>
      <c r="AW7" s="34"/>
      <c r="AX7" s="166"/>
      <c r="AY7" s="26"/>
    </row>
    <row r="8" spans="1:63" ht="13.5" thickBot="1" x14ac:dyDescent="0.25">
      <c r="A8" s="26"/>
      <c r="B8" s="22">
        <v>5</v>
      </c>
      <c r="C8" s="32"/>
      <c r="D8" s="33"/>
      <c r="E8" s="34"/>
      <c r="F8" s="32"/>
      <c r="G8" s="33"/>
      <c r="H8" s="34"/>
      <c r="I8" s="32"/>
      <c r="J8" s="33"/>
      <c r="K8" s="34"/>
      <c r="L8" s="26"/>
      <c r="M8" s="26"/>
      <c r="N8" s="26"/>
      <c r="O8" s="24">
        <v>5</v>
      </c>
      <c r="P8" s="15" t="str">
        <f t="shared" si="10"/>
        <v/>
      </c>
      <c r="Q8" s="16" t="str">
        <f t="shared" si="11"/>
        <v/>
      </c>
      <c r="R8" s="18" t="str">
        <f t="shared" si="12"/>
        <v/>
      </c>
      <c r="S8" s="15" t="str">
        <f t="shared" si="13"/>
        <v/>
      </c>
      <c r="T8" s="16" t="str">
        <f t="shared" si="14"/>
        <v/>
      </c>
      <c r="U8" s="18" t="str">
        <f t="shared" si="15"/>
        <v/>
      </c>
      <c r="V8" s="15" t="str">
        <f t="shared" si="16"/>
        <v/>
      </c>
      <c r="W8" s="16" t="str">
        <f t="shared" si="17"/>
        <v/>
      </c>
      <c r="X8" s="18" t="str">
        <f t="shared" si="18"/>
        <v/>
      </c>
      <c r="Y8" s="26"/>
      <c r="Z8" s="26"/>
      <c r="AA8" s="24">
        <v>5</v>
      </c>
      <c r="AB8" s="53" t="str">
        <f t="shared" si="1"/>
        <v>123456789</v>
      </c>
      <c r="AC8" s="54" t="str">
        <f t="shared" si="2"/>
        <v>123456789</v>
      </c>
      <c r="AD8" s="55" t="str">
        <f t="shared" si="3"/>
        <v>123456789</v>
      </c>
      <c r="AE8" s="53" t="str">
        <f t="shared" si="4"/>
        <v>123456789</v>
      </c>
      <c r="AF8" s="54" t="str">
        <f t="shared" si="5"/>
        <v>123456789</v>
      </c>
      <c r="AG8" s="55" t="str">
        <f t="shared" si="6"/>
        <v>123456789</v>
      </c>
      <c r="AH8" s="53" t="str">
        <f t="shared" si="7"/>
        <v>123456789</v>
      </c>
      <c r="AI8" s="54" t="str">
        <f t="shared" si="8"/>
        <v>123456789</v>
      </c>
      <c r="AJ8" s="55" t="str">
        <f t="shared" si="9"/>
        <v>123456789</v>
      </c>
      <c r="AK8" s="26"/>
      <c r="AL8" s="26"/>
      <c r="AM8" s="26"/>
      <c r="AN8" s="161"/>
      <c r="AO8" s="35"/>
      <c r="AP8" s="36">
        <v>9</v>
      </c>
      <c r="AQ8" s="37">
        <v>8</v>
      </c>
      <c r="AR8" s="35"/>
      <c r="AS8" s="36"/>
      <c r="AT8" s="37"/>
      <c r="AU8" s="35"/>
      <c r="AV8" s="36">
        <v>6</v>
      </c>
      <c r="AW8" s="37"/>
      <c r="AX8" s="166"/>
      <c r="AY8" s="26"/>
    </row>
    <row r="9" spans="1:63" ht="13.5" thickBot="1" x14ac:dyDescent="0.25">
      <c r="A9" s="26"/>
      <c r="B9" s="22">
        <v>6</v>
      </c>
      <c r="C9" s="35"/>
      <c r="D9" s="36"/>
      <c r="E9" s="37"/>
      <c r="F9" s="35"/>
      <c r="G9" s="36"/>
      <c r="H9" s="37"/>
      <c r="I9" s="35"/>
      <c r="J9" s="36"/>
      <c r="K9" s="37"/>
      <c r="L9" s="26"/>
      <c r="M9" s="26"/>
      <c r="N9" s="26"/>
      <c r="O9" s="24">
        <v>6</v>
      </c>
      <c r="P9" s="19" t="str">
        <f t="shared" si="10"/>
        <v/>
      </c>
      <c r="Q9" s="20" t="str">
        <f t="shared" si="11"/>
        <v/>
      </c>
      <c r="R9" s="21" t="str">
        <f t="shared" si="12"/>
        <v/>
      </c>
      <c r="S9" s="19" t="str">
        <f t="shared" si="13"/>
        <v/>
      </c>
      <c r="T9" s="20" t="str">
        <f t="shared" si="14"/>
        <v/>
      </c>
      <c r="U9" s="21" t="str">
        <f t="shared" si="15"/>
        <v/>
      </c>
      <c r="V9" s="19" t="str">
        <f t="shared" si="16"/>
        <v/>
      </c>
      <c r="W9" s="20" t="str">
        <f t="shared" si="17"/>
        <v/>
      </c>
      <c r="X9" s="21" t="str">
        <f t="shared" si="18"/>
        <v/>
      </c>
      <c r="Y9" s="26"/>
      <c r="Z9" s="26"/>
      <c r="AA9" s="24">
        <v>6</v>
      </c>
      <c r="AB9" s="56" t="str">
        <f t="shared" si="1"/>
        <v>123456789</v>
      </c>
      <c r="AC9" s="57" t="str">
        <f t="shared" si="2"/>
        <v>123456789</v>
      </c>
      <c r="AD9" s="58" t="str">
        <f t="shared" si="3"/>
        <v>123456789</v>
      </c>
      <c r="AE9" s="56" t="str">
        <f t="shared" si="4"/>
        <v>123456789</v>
      </c>
      <c r="AF9" s="57" t="str">
        <f t="shared" si="5"/>
        <v>123456789</v>
      </c>
      <c r="AG9" s="58" t="str">
        <f t="shared" si="6"/>
        <v>123456789</v>
      </c>
      <c r="AH9" s="56" t="str">
        <f t="shared" si="7"/>
        <v>123456789</v>
      </c>
      <c r="AI9" s="57" t="str">
        <f t="shared" si="8"/>
        <v>123456789</v>
      </c>
      <c r="AJ9" s="58" t="str">
        <f t="shared" si="9"/>
        <v>123456789</v>
      </c>
      <c r="AK9" s="26"/>
      <c r="AL9" s="26"/>
      <c r="AM9" s="26"/>
      <c r="AN9" s="161"/>
      <c r="AO9" s="29">
        <v>8</v>
      </c>
      <c r="AP9" s="30"/>
      <c r="AQ9" s="31"/>
      <c r="AR9" s="29"/>
      <c r="AS9" s="30">
        <v>6</v>
      </c>
      <c r="AT9" s="31"/>
      <c r="AU9" s="29"/>
      <c r="AV9" s="30"/>
      <c r="AW9" s="31">
        <v>3</v>
      </c>
      <c r="AX9" s="166"/>
      <c r="AY9" s="26"/>
    </row>
    <row r="10" spans="1:63" x14ac:dyDescent="0.2">
      <c r="A10" s="26"/>
      <c r="B10" s="23">
        <v>7</v>
      </c>
      <c r="C10" s="29"/>
      <c r="D10" s="30"/>
      <c r="E10" s="31"/>
      <c r="F10" s="29"/>
      <c r="G10" s="30"/>
      <c r="H10" s="31"/>
      <c r="I10" s="29"/>
      <c r="J10" s="30"/>
      <c r="K10" s="31"/>
      <c r="L10" s="26"/>
      <c r="M10" s="26"/>
      <c r="N10" s="26"/>
      <c r="O10" s="24">
        <v>7</v>
      </c>
      <c r="P10" s="13" t="str">
        <f t="shared" si="10"/>
        <v/>
      </c>
      <c r="Q10" s="14" t="str">
        <f t="shared" si="11"/>
        <v/>
      </c>
      <c r="R10" s="17" t="str">
        <f t="shared" si="12"/>
        <v/>
      </c>
      <c r="S10" s="13" t="str">
        <f t="shared" si="13"/>
        <v/>
      </c>
      <c r="T10" s="14" t="str">
        <f t="shared" si="14"/>
        <v/>
      </c>
      <c r="U10" s="17" t="str">
        <f t="shared" si="15"/>
        <v/>
      </c>
      <c r="V10" s="13" t="str">
        <f t="shared" si="16"/>
        <v/>
      </c>
      <c r="W10" s="14" t="str">
        <f t="shared" si="17"/>
        <v/>
      </c>
      <c r="X10" s="17" t="str">
        <f t="shared" si="18"/>
        <v/>
      </c>
      <c r="Y10" s="26"/>
      <c r="Z10" s="26"/>
      <c r="AA10" s="24">
        <v>7</v>
      </c>
      <c r="AB10" s="50" t="str">
        <f t="shared" si="1"/>
        <v>123456789</v>
      </c>
      <c r="AC10" s="51" t="str">
        <f t="shared" si="2"/>
        <v>123456789</v>
      </c>
      <c r="AD10" s="52" t="str">
        <f t="shared" si="3"/>
        <v>123456789</v>
      </c>
      <c r="AE10" s="50" t="str">
        <f t="shared" si="4"/>
        <v>123456789</v>
      </c>
      <c r="AF10" s="51" t="str">
        <f t="shared" si="5"/>
        <v>123456789</v>
      </c>
      <c r="AG10" s="52" t="str">
        <f t="shared" si="6"/>
        <v>123456789</v>
      </c>
      <c r="AH10" s="50" t="str">
        <f t="shared" si="7"/>
        <v>123456789</v>
      </c>
      <c r="AI10" s="51" t="str">
        <f t="shared" si="8"/>
        <v>123456789</v>
      </c>
      <c r="AJ10" s="52" t="str">
        <f t="shared" si="9"/>
        <v>123456789</v>
      </c>
      <c r="AK10" s="26"/>
      <c r="AL10" s="26"/>
      <c r="AM10" s="26"/>
      <c r="AN10" s="161"/>
      <c r="AO10" s="32">
        <v>4</v>
      </c>
      <c r="AP10" s="33"/>
      <c r="AQ10" s="34"/>
      <c r="AR10" s="32">
        <v>8</v>
      </c>
      <c r="AS10" s="33"/>
      <c r="AT10" s="34">
        <v>3</v>
      </c>
      <c r="AU10" s="32"/>
      <c r="AV10" s="33"/>
      <c r="AW10" s="34">
        <v>1</v>
      </c>
      <c r="AX10" s="166"/>
      <c r="AY10" s="26"/>
    </row>
    <row r="11" spans="1:63" ht="13.5" thickBot="1" x14ac:dyDescent="0.25">
      <c r="A11" s="26"/>
      <c r="B11" s="23">
        <v>8</v>
      </c>
      <c r="C11" s="32"/>
      <c r="D11" s="33"/>
      <c r="E11" s="34"/>
      <c r="F11" s="32"/>
      <c r="G11" s="33"/>
      <c r="H11" s="34"/>
      <c r="I11" s="32"/>
      <c r="J11" s="33"/>
      <c r="K11" s="34"/>
      <c r="L11" s="26"/>
      <c r="M11" s="26"/>
      <c r="N11" s="26"/>
      <c r="O11" s="24">
        <v>8</v>
      </c>
      <c r="P11" s="15" t="str">
        <f t="shared" si="10"/>
        <v/>
      </c>
      <c r="Q11" s="16" t="str">
        <f t="shared" si="11"/>
        <v/>
      </c>
      <c r="R11" s="18" t="str">
        <f t="shared" si="12"/>
        <v/>
      </c>
      <c r="S11" s="15" t="str">
        <f t="shared" si="13"/>
        <v/>
      </c>
      <c r="T11" s="16" t="str">
        <f t="shared" si="14"/>
        <v/>
      </c>
      <c r="U11" s="18" t="str">
        <f t="shared" si="15"/>
        <v/>
      </c>
      <c r="V11" s="15" t="str">
        <f t="shared" si="16"/>
        <v/>
      </c>
      <c r="W11" s="16" t="str">
        <f t="shared" si="17"/>
        <v/>
      </c>
      <c r="X11" s="18" t="str">
        <f t="shared" si="18"/>
        <v/>
      </c>
      <c r="Y11" s="26"/>
      <c r="Z11" s="26"/>
      <c r="AA11" s="24">
        <v>8</v>
      </c>
      <c r="AB11" s="53" t="str">
        <f t="shared" si="1"/>
        <v>123456789</v>
      </c>
      <c r="AC11" s="54" t="str">
        <f t="shared" si="2"/>
        <v>123456789</v>
      </c>
      <c r="AD11" s="55" t="str">
        <f t="shared" si="3"/>
        <v>123456789</v>
      </c>
      <c r="AE11" s="53" t="str">
        <f t="shared" si="4"/>
        <v>123456789</v>
      </c>
      <c r="AF11" s="54" t="str">
        <f t="shared" si="5"/>
        <v>123456789</v>
      </c>
      <c r="AG11" s="55" t="str">
        <f t="shared" si="6"/>
        <v>123456789</v>
      </c>
      <c r="AH11" s="53" t="str">
        <f t="shared" si="7"/>
        <v>123456789</v>
      </c>
      <c r="AI11" s="54" t="str">
        <f t="shared" si="8"/>
        <v>123456789</v>
      </c>
      <c r="AJ11" s="55" t="str">
        <f t="shared" si="9"/>
        <v>123456789</v>
      </c>
      <c r="AK11" s="26"/>
      <c r="AL11" s="26"/>
      <c r="AM11" s="26"/>
      <c r="AN11" s="161"/>
      <c r="AO11" s="35">
        <v>7</v>
      </c>
      <c r="AP11" s="36"/>
      <c r="AQ11" s="37"/>
      <c r="AR11" s="35"/>
      <c r="AS11" s="36">
        <v>2</v>
      </c>
      <c r="AT11" s="37"/>
      <c r="AU11" s="35"/>
      <c r="AV11" s="36"/>
      <c r="AW11" s="37">
        <v>6</v>
      </c>
      <c r="AX11" s="166"/>
      <c r="AY11" s="26"/>
    </row>
    <row r="12" spans="1:63" ht="13.5" thickBot="1" x14ac:dyDescent="0.25">
      <c r="A12" s="26"/>
      <c r="B12" s="24">
        <v>9</v>
      </c>
      <c r="C12" s="35"/>
      <c r="D12" s="36"/>
      <c r="E12" s="37"/>
      <c r="F12" s="35"/>
      <c r="G12" s="36"/>
      <c r="H12" s="37"/>
      <c r="I12" s="35"/>
      <c r="J12" s="36"/>
      <c r="K12" s="37"/>
      <c r="L12" s="26"/>
      <c r="M12" s="26"/>
      <c r="N12" s="26"/>
      <c r="O12" s="24">
        <v>9</v>
      </c>
      <c r="P12" s="19" t="str">
        <f t="shared" si="10"/>
        <v/>
      </c>
      <c r="Q12" s="20" t="str">
        <f t="shared" si="11"/>
        <v/>
      </c>
      <c r="R12" s="21" t="str">
        <f t="shared" si="12"/>
        <v/>
      </c>
      <c r="S12" s="19" t="str">
        <f t="shared" si="13"/>
        <v/>
      </c>
      <c r="T12" s="20" t="str">
        <f t="shared" si="14"/>
        <v/>
      </c>
      <c r="U12" s="21" t="str">
        <f t="shared" si="15"/>
        <v/>
      </c>
      <c r="V12" s="19" t="str">
        <f t="shared" si="16"/>
        <v/>
      </c>
      <c r="W12" s="20" t="str">
        <f t="shared" si="17"/>
        <v/>
      </c>
      <c r="X12" s="21" t="str">
        <f t="shared" si="18"/>
        <v/>
      </c>
      <c r="Y12" s="26"/>
      <c r="Z12" s="26"/>
      <c r="AA12" s="24">
        <v>9</v>
      </c>
      <c r="AB12" s="56" t="str">
        <f t="shared" si="1"/>
        <v>123456789</v>
      </c>
      <c r="AC12" s="57" t="str">
        <f t="shared" si="2"/>
        <v>123456789</v>
      </c>
      <c r="AD12" s="58" t="str">
        <f t="shared" si="3"/>
        <v>123456789</v>
      </c>
      <c r="AE12" s="56" t="str">
        <f t="shared" si="4"/>
        <v>123456789</v>
      </c>
      <c r="AF12" s="57" t="str">
        <f t="shared" si="5"/>
        <v>123456789</v>
      </c>
      <c r="AG12" s="58" t="str">
        <f t="shared" si="6"/>
        <v>123456789</v>
      </c>
      <c r="AH12" s="56" t="str">
        <f t="shared" si="7"/>
        <v>123456789</v>
      </c>
      <c r="AI12" s="57" t="str">
        <f t="shared" si="8"/>
        <v>123456789</v>
      </c>
      <c r="AJ12" s="58" t="str">
        <f t="shared" si="9"/>
        <v>123456789</v>
      </c>
      <c r="AK12" s="26"/>
      <c r="AL12" s="26"/>
      <c r="AM12" s="26"/>
      <c r="AN12" s="161"/>
      <c r="AO12" s="29"/>
      <c r="AP12" s="30">
        <v>6</v>
      </c>
      <c r="AQ12" s="31"/>
      <c r="AR12" s="29"/>
      <c r="AS12" s="30"/>
      <c r="AT12" s="31"/>
      <c r="AU12" s="29">
        <v>2</v>
      </c>
      <c r="AV12" s="30">
        <v>8</v>
      </c>
      <c r="AW12" s="31"/>
      <c r="AX12" s="166"/>
      <c r="AY12" s="26"/>
    </row>
    <row r="13" spans="1:63" x14ac:dyDescent="0.2">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161"/>
      <c r="AO13" s="32"/>
      <c r="AP13" s="33"/>
      <c r="AQ13" s="34"/>
      <c r="AR13" s="32">
        <v>4</v>
      </c>
      <c r="AS13" s="33">
        <v>1</v>
      </c>
      <c r="AT13" s="34">
        <v>9</v>
      </c>
      <c r="AU13" s="32"/>
      <c r="AV13" s="33"/>
      <c r="AW13" s="34">
        <v>5</v>
      </c>
      <c r="AX13" s="166"/>
      <c r="AY13" s="26"/>
    </row>
    <row r="14" spans="1:63" ht="13.5" thickBot="1" x14ac:dyDescent="0.25">
      <c r="A14" s="26"/>
      <c r="B14" s="40" t="s">
        <v>29</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2"/>
      <c r="AM14" s="26"/>
      <c r="AN14" s="161"/>
      <c r="AO14" s="35"/>
      <c r="AP14" s="36"/>
      <c r="AQ14" s="37"/>
      <c r="AR14" s="35"/>
      <c r="AS14" s="36">
        <v>8</v>
      </c>
      <c r="AT14" s="37"/>
      <c r="AU14" s="35"/>
      <c r="AV14" s="36">
        <v>7</v>
      </c>
      <c r="AW14" s="37">
        <v>9</v>
      </c>
      <c r="AX14" s="166"/>
      <c r="AY14" s="26"/>
      <c r="BJ14" s="11"/>
      <c r="BK14" s="11"/>
    </row>
    <row r="15" spans="1:63" x14ac:dyDescent="0.2">
      <c r="A15" s="26"/>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5"/>
      <c r="AM15" s="26"/>
      <c r="AN15" s="161"/>
      <c r="AO15" s="165"/>
      <c r="AP15" s="165"/>
      <c r="AQ15" s="165"/>
      <c r="AR15" s="165"/>
      <c r="AS15" s="165"/>
      <c r="AT15" s="165"/>
      <c r="AU15" s="165"/>
      <c r="AV15" s="165"/>
      <c r="AW15" s="165"/>
      <c r="AX15" s="166"/>
      <c r="AY15" s="26"/>
      <c r="BJ15" s="11"/>
      <c r="BK15" s="11"/>
    </row>
    <row r="16" spans="1:63" ht="13.5" thickBot="1" x14ac:dyDescent="0.25">
      <c r="A16" s="26"/>
      <c r="B16" s="46"/>
      <c r="C16" s="25">
        <v>1</v>
      </c>
      <c r="D16" s="44">
        <v>1</v>
      </c>
      <c r="E16" s="44">
        <v>2</v>
      </c>
      <c r="F16" s="44">
        <v>3</v>
      </c>
      <c r="G16" s="44">
        <v>4</v>
      </c>
      <c r="H16" s="44">
        <v>5</v>
      </c>
      <c r="I16" s="44">
        <v>6</v>
      </c>
      <c r="J16" s="44">
        <v>7</v>
      </c>
      <c r="K16" s="44">
        <v>8</v>
      </c>
      <c r="L16" s="44">
        <v>9</v>
      </c>
      <c r="M16" s="44"/>
      <c r="N16" s="44"/>
      <c r="O16" s="25">
        <v>2</v>
      </c>
      <c r="P16" s="44">
        <v>1</v>
      </c>
      <c r="Q16" s="44">
        <v>2</v>
      </c>
      <c r="R16" s="44">
        <v>3</v>
      </c>
      <c r="S16" s="44">
        <v>4</v>
      </c>
      <c r="T16" s="44">
        <v>5</v>
      </c>
      <c r="U16" s="44">
        <v>6</v>
      </c>
      <c r="V16" s="44">
        <v>7</v>
      </c>
      <c r="W16" s="44">
        <v>8</v>
      </c>
      <c r="X16" s="44">
        <v>9</v>
      </c>
      <c r="Y16" s="44"/>
      <c r="Z16" s="44"/>
      <c r="AA16" s="25">
        <v>3</v>
      </c>
      <c r="AB16" s="44">
        <v>1</v>
      </c>
      <c r="AC16" s="44">
        <v>2</v>
      </c>
      <c r="AD16" s="44">
        <v>3</v>
      </c>
      <c r="AE16" s="44">
        <v>4</v>
      </c>
      <c r="AF16" s="44">
        <v>5</v>
      </c>
      <c r="AG16" s="44">
        <v>6</v>
      </c>
      <c r="AH16" s="44">
        <v>7</v>
      </c>
      <c r="AI16" s="44">
        <v>8</v>
      </c>
      <c r="AJ16" s="44">
        <v>9</v>
      </c>
      <c r="AK16" s="44"/>
      <c r="AL16" s="45"/>
      <c r="AM16" s="26"/>
      <c r="AN16" s="161"/>
      <c r="AO16" s="165"/>
      <c r="AP16" s="165"/>
      <c r="AQ16" s="165"/>
      <c r="AR16" s="165"/>
      <c r="AS16" s="165"/>
      <c r="AT16" s="165"/>
      <c r="AU16" s="165"/>
      <c r="AV16" s="165"/>
      <c r="AW16" s="165"/>
      <c r="AX16" s="166"/>
      <c r="AY16" s="26"/>
      <c r="BJ16" s="11"/>
      <c r="BK16" s="11"/>
    </row>
    <row r="17" spans="1:63" x14ac:dyDescent="0.2">
      <c r="A17" s="26"/>
      <c r="B17" s="46"/>
      <c r="C17" s="44">
        <v>1</v>
      </c>
      <c r="D17" s="2">
        <f>IF(OR(C4 &gt;0, MAX(COUNTIF(_row1, one), COUNTIF(_col1, one), COUNTIF(_sq11, one)) = 1), "", one)</f>
        <v>1</v>
      </c>
      <c r="E17" s="3">
        <f>IF(OR(D4 &gt;0, MAX(COUNTIF(_row1, one), COUNTIF(_col2, one), COUNTIF(_sq11, one)) = 1), "", one)</f>
        <v>1</v>
      </c>
      <c r="F17" s="4">
        <f>IF(OR(E4 &gt;0, MAX(COUNTIF(_row1, one), COUNTIF(_col3, one), COUNTIF(_sq11, one)) = 1), "", one)</f>
        <v>1</v>
      </c>
      <c r="G17" s="2">
        <f>IF(OR(F4 &gt;0, MAX(COUNTIF(_row1, one), COUNTIF(_col4, one), COUNTIF(_sq12, one)) = 1), "", one)</f>
        <v>1</v>
      </c>
      <c r="H17" s="3">
        <f>IF(OR(G4 &gt;0, MAX(COUNTIF(_row1, one), COUNTIF(_col5, one), COUNTIF(_sq12, one)) = 1), "", one)</f>
        <v>1</v>
      </c>
      <c r="I17" s="4">
        <f>IF(OR(H4 &gt;0, MAX(COUNTIF(_row1, one), COUNTIF(_col6, one), COUNTIF(_sq12, one)) = 1), "", one)</f>
        <v>1</v>
      </c>
      <c r="J17" s="2">
        <f>IF(OR(I4 &gt;0, MAX(COUNTIF(_row1, one), COUNTIF(_col7, one), COUNTIF(_sq13, one)) = 1), "", one)</f>
        <v>1</v>
      </c>
      <c r="K17" s="3">
        <f>IF(OR(J4 &gt;0, MAX(COUNTIF(_row1, one), COUNTIF(_col8, one), COUNTIF(_sq13, one)) = 1), "", one)</f>
        <v>1</v>
      </c>
      <c r="L17" s="4">
        <f>IF(OR(K4 &gt;0, MAX(COUNTIF(_row1, one), COUNTIF(_col9, one), COUNTIF(_sq13, one)) = 1), "", one)</f>
        <v>1</v>
      </c>
      <c r="M17" s="6">
        <f t="shared" ref="M17:M25" si="19">SUM(D17:L17)/one</f>
        <v>9</v>
      </c>
      <c r="N17" s="44"/>
      <c r="O17" s="44">
        <v>1</v>
      </c>
      <c r="P17" s="2">
        <f>IF(OR(C4 &gt;0, MAX(COUNTIF(_row1, two), COUNTIF(_col1, two), COUNTIF(_sq11, two)) = 1), "", two)</f>
        <v>2</v>
      </c>
      <c r="Q17" s="3">
        <f>IF(OR(D4 &gt;0, MAX(COUNTIF(_row1, two), COUNTIF(_col2, two), COUNTIF(_sq11, two)) = 1), "", two)</f>
        <v>2</v>
      </c>
      <c r="R17" s="4">
        <f>IF(OR(E4 &gt;0, MAX(COUNTIF(_row1, two), COUNTIF(_col3, two), COUNTIF(_sq11, two)) = 1), "", two)</f>
        <v>2</v>
      </c>
      <c r="S17" s="2">
        <f>IF(OR(F4 &gt;0, MAX(COUNTIF(_row1, two), COUNTIF(_col4, two), COUNTIF(_sq12, two)) = 1), "", two)</f>
        <v>2</v>
      </c>
      <c r="T17" s="3">
        <f>IF(OR(G4 &gt;0, MAX(COUNTIF(_row1, two), COUNTIF(_col5, two), COUNTIF(_sq12, two)) = 1), "", two)</f>
        <v>2</v>
      </c>
      <c r="U17" s="4">
        <f>IF(OR(H4 &gt;0, MAX(COUNTIF(_row1, two), COUNTIF(_col6, two), COUNTIF(_sq12, two)) = 1), "", two)</f>
        <v>2</v>
      </c>
      <c r="V17" s="2">
        <f>IF(OR(I4 &gt;0, MAX(COUNTIF(_row1, two), COUNTIF(_col7, two), COUNTIF(_sq13, two)) = 1), "", two)</f>
        <v>2</v>
      </c>
      <c r="W17" s="3">
        <f>IF(OR(J4 &gt;0, MAX(COUNTIF(_row1, two), COUNTIF(_col8, two), COUNTIF(_sq13, two)) = 1), "", two)</f>
        <v>2</v>
      </c>
      <c r="X17" s="4">
        <f>IF(OR(K4 &gt;0, MAX(COUNTIF(_row1, two), COUNTIF(_col9, two), COUNTIF(_sq13, two)) = 1), "", two)</f>
        <v>2</v>
      </c>
      <c r="Y17" s="6">
        <f t="shared" ref="Y17:Y25" si="20">SUM(P17:X17)/two</f>
        <v>9</v>
      </c>
      <c r="Z17" s="44"/>
      <c r="AA17" s="44">
        <v>1</v>
      </c>
      <c r="AB17" s="2">
        <f>IF(OR(C4 &gt;0, MAX(COUNTIF(_row1, three), COUNTIF(_col1, three), COUNTIF(_sq11, three)) = 1), "", three)</f>
        <v>3</v>
      </c>
      <c r="AC17" s="3">
        <f>IF(OR(D4 &gt;0, MAX(COUNTIF(_row1, three), COUNTIF(_col2, three), COUNTIF(_sq11, three)) = 1), "", three)</f>
        <v>3</v>
      </c>
      <c r="AD17" s="4">
        <f>IF(OR(E4 &gt;0, MAX(COUNTIF(_row1, three), COUNTIF(_col3, three), COUNTIF(_sq11, three)) = 1), "", three)</f>
        <v>3</v>
      </c>
      <c r="AE17" s="2">
        <f>IF(OR(F4 &gt;0, MAX(COUNTIF(_row1, three), COUNTIF(_col4, three), COUNTIF(_sq12, three)) = 1), "", three)</f>
        <v>3</v>
      </c>
      <c r="AF17" s="3">
        <f>IF(OR(G4 &gt;0, MAX(COUNTIF(_row1, three), COUNTIF(_col5, three), COUNTIF(_sq12, three)) = 1), "", three)</f>
        <v>3</v>
      </c>
      <c r="AG17" s="4">
        <f>IF(OR(H4 &gt;0, MAX(COUNTIF(_row1, three), COUNTIF(_col6, three), COUNTIF(_sq12, three)) = 1), "", three)</f>
        <v>3</v>
      </c>
      <c r="AH17" s="2">
        <f>IF(OR(I4 &gt;0, MAX(COUNTIF(_row1, three), COUNTIF(_col7, three), COUNTIF(_sq13, three)) = 1), "", three)</f>
        <v>3</v>
      </c>
      <c r="AI17" s="3">
        <f>IF(OR(J4 &gt;0, MAX(COUNTIF(_row1, three), COUNTIF(_col8, three), COUNTIF(_sq13, three)) = 1), "", three)</f>
        <v>3</v>
      </c>
      <c r="AJ17" s="4">
        <f>IF(OR(K4 &gt;0, MAX(COUNTIF(_row1, three), COUNTIF(_col9, three), COUNTIF(_sq13, three)) = 1), "", three)</f>
        <v>3</v>
      </c>
      <c r="AK17" s="6">
        <f t="shared" ref="AK17:AK25" si="21">SUM(AB17:AJ17)/three</f>
        <v>9</v>
      </c>
      <c r="AL17" s="45"/>
      <c r="AM17" s="26"/>
      <c r="AN17" s="161"/>
      <c r="AO17" s="29">
        <v>5</v>
      </c>
      <c r="AP17" s="30">
        <v>3</v>
      </c>
      <c r="AQ17" s="31"/>
      <c r="AR17" s="29"/>
      <c r="AS17" s="30">
        <v>7</v>
      </c>
      <c r="AT17" s="31"/>
      <c r="AU17" s="29"/>
      <c r="AV17" s="30"/>
      <c r="AW17" s="31"/>
      <c r="AX17" s="166"/>
      <c r="AY17" s="26"/>
      <c r="BJ17" s="11"/>
      <c r="BK17" s="11"/>
    </row>
    <row r="18" spans="1:63" x14ac:dyDescent="0.2">
      <c r="A18" s="26"/>
      <c r="B18" s="46"/>
      <c r="C18" s="44">
        <v>2</v>
      </c>
      <c r="D18" s="5">
        <f>IF(OR(C5 &gt;0, MAX(COUNTIF(_row2, one), COUNTIF(_col1, one), COUNTIF(_sq11, one)) = 1), "", one)</f>
        <v>1</v>
      </c>
      <c r="E18" s="6">
        <f>IF(OR(D5 &gt;0, MAX(COUNTIF(_row2, one), COUNTIF(_col2, one), COUNTIF(_sq11, one)) = 1), "", one)</f>
        <v>1</v>
      </c>
      <c r="F18" s="7">
        <f>IF(OR(E5 &gt;0, MAX(COUNTIF(_row2, one), COUNTIF(_col3, one), COUNTIF(_sq11, one)) = 1), "", one)</f>
        <v>1</v>
      </c>
      <c r="G18" s="5">
        <f>IF(OR(F5 &gt;0, MAX(COUNTIF(_row2, one), COUNTIF(_col4, one), COUNTIF(_sq12, one)) = 1), "", one)</f>
        <v>1</v>
      </c>
      <c r="H18" s="6">
        <f>IF(OR(G5 &gt;0, MAX(COUNTIF(_row2, one), COUNTIF(_col5, one), COUNTIF(_sq12, one)) = 1), "", one)</f>
        <v>1</v>
      </c>
      <c r="I18" s="7">
        <f>IF(OR(H5 &gt;0, MAX(COUNTIF(_row2, one), COUNTIF(_col6, one), COUNTIF(_sq12, one)) = 1), "", one)</f>
        <v>1</v>
      </c>
      <c r="J18" s="5">
        <f>IF(OR(I5 &gt;0, MAX(COUNTIF(_row2, one), COUNTIF(_col7, one), COUNTIF(_sq13, one)) = 1), "", one)</f>
        <v>1</v>
      </c>
      <c r="K18" s="6">
        <f>IF(OR(J5 &gt;0, MAX(COUNTIF(_row2, one), COUNTIF(_col8, one), COUNTIF(_sq13, one)) = 1), "", one)</f>
        <v>1</v>
      </c>
      <c r="L18" s="7">
        <f>IF(OR(K5 &gt;0, MAX(COUNTIF(_row2, one), COUNTIF(_col9, one), COUNTIF(_sq13, one)) = 1), "", one)</f>
        <v>1</v>
      </c>
      <c r="M18" s="6">
        <f t="shared" si="19"/>
        <v>9</v>
      </c>
      <c r="N18" s="44"/>
      <c r="O18" s="44">
        <v>2</v>
      </c>
      <c r="P18" s="5">
        <f>IF(OR(C5 &gt;0, MAX(COUNTIF(_row2, two), COUNTIF(_col1, two), COUNTIF(_sq11, two)) = 1), "", two)</f>
        <v>2</v>
      </c>
      <c r="Q18" s="6">
        <f>IF(OR(D5 &gt;0, MAX(COUNTIF(_row2, two), COUNTIF(_col2, two), COUNTIF(_sq11, two)) = 1), "", two)</f>
        <v>2</v>
      </c>
      <c r="R18" s="7">
        <f>IF(OR(E5 &gt;0, MAX(COUNTIF(_row2, two), COUNTIF(_col3, two), COUNTIF(_sq11, two)) = 1), "", two)</f>
        <v>2</v>
      </c>
      <c r="S18" s="5">
        <f>IF(OR(F5 &gt;0, MAX(COUNTIF(_row2, two), COUNTIF(_col4, two), COUNTIF(_sq12, two)) = 1), "", two)</f>
        <v>2</v>
      </c>
      <c r="T18" s="6">
        <f>IF(OR(G5 &gt;0, MAX(COUNTIF(_row2, two), COUNTIF(_col5, two), COUNTIF(_sq12, two)) = 1), "", two)</f>
        <v>2</v>
      </c>
      <c r="U18" s="7">
        <f>IF(OR(H5 &gt;0, MAX(COUNTIF(_row2, two), COUNTIF(_col6, two), COUNTIF(_sq12, two)) = 1), "", two)</f>
        <v>2</v>
      </c>
      <c r="V18" s="5">
        <f>IF(OR(I5 &gt;0, MAX(COUNTIF(_row2, two), COUNTIF(_col7, two), COUNTIF(_sq13, two)) = 1), "", two)</f>
        <v>2</v>
      </c>
      <c r="W18" s="6">
        <f>IF(OR(J5 &gt;0, MAX(COUNTIF(_row2, two), COUNTIF(_col8, two), COUNTIF(_sq13, two)) = 1), "", two)</f>
        <v>2</v>
      </c>
      <c r="X18" s="7">
        <f>IF(OR(K5 &gt;0, MAX(COUNTIF(_row2, two), COUNTIF(_col9, two), COUNTIF(_sq13, two)) = 1), "", two)</f>
        <v>2</v>
      </c>
      <c r="Y18" s="6">
        <f t="shared" si="20"/>
        <v>9</v>
      </c>
      <c r="Z18" s="44"/>
      <c r="AA18" s="44">
        <v>2</v>
      </c>
      <c r="AB18" s="5">
        <f>IF(OR(C5 &gt;0, MAX(COUNTIF(_row2, three), COUNTIF(_col1, three), COUNTIF(_sq11, three)) = 1), "", three)</f>
        <v>3</v>
      </c>
      <c r="AC18" s="6">
        <f>IF(OR(D5 &gt;0, MAX(COUNTIF(_row2, three), COUNTIF(_col2, three), COUNTIF(_sq11, three)) = 1), "", three)</f>
        <v>3</v>
      </c>
      <c r="AD18" s="7">
        <f>IF(OR(E5 &gt;0, MAX(COUNTIF(_row2, three), COUNTIF(_col3, three), COUNTIF(_sq11, three)) = 1), "", three)</f>
        <v>3</v>
      </c>
      <c r="AE18" s="5">
        <f>IF(OR(F5 &gt;0, MAX(COUNTIF(_row2, three), COUNTIF(_col4, three), COUNTIF(_sq12, three)) = 1), "", three)</f>
        <v>3</v>
      </c>
      <c r="AF18" s="6">
        <f>IF(OR(G5 &gt;0, MAX(COUNTIF(_row2, three), COUNTIF(_col5, three), COUNTIF(_sq12, three)) = 1), "", three)</f>
        <v>3</v>
      </c>
      <c r="AG18" s="7">
        <f>IF(OR(H5 &gt;0, MAX(COUNTIF(_row2, three), COUNTIF(_col6, three), COUNTIF(_sq12, three)) = 1), "", three)</f>
        <v>3</v>
      </c>
      <c r="AH18" s="5">
        <f>IF(OR(I5 &gt;0, MAX(COUNTIF(_row2, three), COUNTIF(_col7, three), COUNTIF(_sq13, three)) = 1), "", three)</f>
        <v>3</v>
      </c>
      <c r="AI18" s="6">
        <f>IF(OR(J5 &gt;0, MAX(COUNTIF(_row2, three), COUNTIF(_col8, three), COUNTIF(_sq13, three)) = 1), "", three)</f>
        <v>3</v>
      </c>
      <c r="AJ18" s="7">
        <f>IF(OR(K5 &gt;0, MAX(COUNTIF(_row2, three), COUNTIF(_col9, three), COUNTIF(_sq13, three)) = 1), "", three)</f>
        <v>3</v>
      </c>
      <c r="AK18" s="6">
        <f t="shared" si="21"/>
        <v>9</v>
      </c>
      <c r="AL18" s="45"/>
      <c r="AM18" s="26"/>
      <c r="AN18" s="161"/>
      <c r="AO18" s="32">
        <v>6</v>
      </c>
      <c r="AP18" s="33"/>
      <c r="AQ18" s="34"/>
      <c r="AR18" s="32">
        <v>1</v>
      </c>
      <c r="AS18" s="33">
        <v>9</v>
      </c>
      <c r="AT18" s="34">
        <v>5</v>
      </c>
      <c r="AU18" s="32"/>
      <c r="AV18" s="33"/>
      <c r="AW18" s="34"/>
      <c r="AX18" s="166"/>
      <c r="AY18" s="26"/>
      <c r="BJ18" s="11"/>
      <c r="BK18" s="11"/>
    </row>
    <row r="19" spans="1:63" ht="13.5" thickBot="1" x14ac:dyDescent="0.25">
      <c r="A19" s="26"/>
      <c r="B19" s="46"/>
      <c r="C19" s="44">
        <v>3</v>
      </c>
      <c r="D19" s="8">
        <f>IF(OR(C6 &gt;0, MAX(COUNTIF(_row3, one), COUNTIF(_col1, one), COUNTIF(_sq11, one)) = 1), "", one)</f>
        <v>1</v>
      </c>
      <c r="E19" s="9">
        <f>IF(OR(D6 &gt;0, MAX(COUNTIF(_row3, one), COUNTIF(_col2, one), COUNTIF(_sq11, one)) = 1), "", one)</f>
        <v>1</v>
      </c>
      <c r="F19" s="10">
        <f>IF(OR(E6 &gt;0, MAX(COUNTIF(_row3, one), COUNTIF(_col3, one), COUNTIF(_sq11, one)) = 1), "", one)</f>
        <v>1</v>
      </c>
      <c r="G19" s="8">
        <f>IF(OR(F6 &gt;0, MAX(COUNTIF(_row3, one), COUNTIF(_col4, one), COUNTIF(_sq12, one)) = 1), "", one)</f>
        <v>1</v>
      </c>
      <c r="H19" s="9">
        <f>IF(OR(G6 &gt;0, MAX(COUNTIF(_row3, one), COUNTIF(_col5, one), COUNTIF(_sq12, one)) = 1), "", one)</f>
        <v>1</v>
      </c>
      <c r="I19" s="10">
        <f>IF(OR(H6 &gt;0, MAX(COUNTIF(_row3, one), COUNTIF(_col6, one), COUNTIF(_sq12, one)) = 1), "", one)</f>
        <v>1</v>
      </c>
      <c r="J19" s="8">
        <f>IF(OR(I6 &gt;0, MAX(COUNTIF(_row3, one), COUNTIF(_col7, one), COUNTIF(_sq13, one)) = 1), "", one)</f>
        <v>1</v>
      </c>
      <c r="K19" s="9">
        <f>IF(OR(J6 &gt;0, MAX(COUNTIF(_row3, one), COUNTIF(_col8, one), COUNTIF(_sq13, one)) = 1), "", one)</f>
        <v>1</v>
      </c>
      <c r="L19" s="10">
        <f>IF(OR(K6 &gt;0, MAX(COUNTIF(_row3, one), COUNTIF(_col9, one), COUNTIF(_sq13, one)) = 1), "", one)</f>
        <v>1</v>
      </c>
      <c r="M19" s="6">
        <f t="shared" si="19"/>
        <v>9</v>
      </c>
      <c r="N19" s="44"/>
      <c r="O19" s="44">
        <v>3</v>
      </c>
      <c r="P19" s="8">
        <f>IF(OR(C6 &gt;0, MAX(COUNTIF(_row3, two), COUNTIF(_col1, two), COUNTIF(_sq11, two)) = 1), "", two)</f>
        <v>2</v>
      </c>
      <c r="Q19" s="9">
        <f>IF(OR(D6 &gt;0, MAX(COUNTIF(_row3, two), COUNTIF(_col2, two), COUNTIF(_sq11, two)) = 1), "", two)</f>
        <v>2</v>
      </c>
      <c r="R19" s="10">
        <f>IF(OR(E6 &gt;0, MAX(COUNTIF(_row3, two), COUNTIF(_col3, two), COUNTIF(_sq11, two)) = 1), "", two)</f>
        <v>2</v>
      </c>
      <c r="S19" s="8">
        <f>IF(OR(F6 &gt;0, MAX(COUNTIF(_row3, two), COUNTIF(_col4, two), COUNTIF(_sq12, two)) = 1), "", two)</f>
        <v>2</v>
      </c>
      <c r="T19" s="9">
        <f>IF(OR(G6 &gt;0, MAX(COUNTIF(_row3, two), COUNTIF(_col5, two), COUNTIF(_sq12, two)) = 1), "", two)</f>
        <v>2</v>
      </c>
      <c r="U19" s="10">
        <f>IF(OR(H6 &gt;0, MAX(COUNTIF(_row3, two), COUNTIF(_col6, two), COUNTIF(_sq12, two)) = 1), "", two)</f>
        <v>2</v>
      </c>
      <c r="V19" s="8">
        <f>IF(OR(I6 &gt;0, MAX(COUNTIF(_row3, two), COUNTIF(_col7, two), COUNTIF(_sq13, two)) = 1), "", two)</f>
        <v>2</v>
      </c>
      <c r="W19" s="9">
        <f>IF(OR(J6 &gt;0, MAX(COUNTIF(_row3, two), COUNTIF(_col8, two), COUNTIF(_sq13, two)) = 1), "", two)</f>
        <v>2</v>
      </c>
      <c r="X19" s="10">
        <f>IF(OR(K6 &gt;0, MAX(COUNTIF(_row3, two), COUNTIF(_col9, two), COUNTIF(_sq13, two)) = 1), "", two)</f>
        <v>2</v>
      </c>
      <c r="Y19" s="6">
        <f t="shared" si="20"/>
        <v>9</v>
      </c>
      <c r="Z19" s="44"/>
      <c r="AA19" s="44">
        <v>3</v>
      </c>
      <c r="AB19" s="8">
        <f>IF(OR(C6 &gt;0, MAX(COUNTIF(_row3, three), COUNTIF(_col1, three), COUNTIF(_sq11, three)) = 1), "", three)</f>
        <v>3</v>
      </c>
      <c r="AC19" s="9">
        <f>IF(OR(D6 &gt;0, MAX(COUNTIF(_row3, three), COUNTIF(_col2, three), COUNTIF(_sq11, three)) = 1), "", three)</f>
        <v>3</v>
      </c>
      <c r="AD19" s="10">
        <f>IF(OR(E6 &gt;0, MAX(COUNTIF(_row3, three), COUNTIF(_col3, three), COUNTIF(_sq11, three)) = 1), "", three)</f>
        <v>3</v>
      </c>
      <c r="AE19" s="8">
        <f>IF(OR(F6 &gt;0, MAX(COUNTIF(_row3, three), COUNTIF(_col4, three), COUNTIF(_sq12, three)) = 1), "", three)</f>
        <v>3</v>
      </c>
      <c r="AF19" s="9">
        <f>IF(OR(G6 &gt;0, MAX(COUNTIF(_row3, three), COUNTIF(_col5, three), COUNTIF(_sq12, three)) = 1), "", three)</f>
        <v>3</v>
      </c>
      <c r="AG19" s="10">
        <f>IF(OR(H6 &gt;0, MAX(COUNTIF(_row3, three), COUNTIF(_col6, three), COUNTIF(_sq12, three)) = 1), "", three)</f>
        <v>3</v>
      </c>
      <c r="AH19" s="8">
        <f>IF(OR(I6 &gt;0, MAX(COUNTIF(_row3, three), COUNTIF(_col7, three), COUNTIF(_sq13, three)) = 1), "", three)</f>
        <v>3</v>
      </c>
      <c r="AI19" s="9">
        <f>IF(OR(J6 &gt;0, MAX(COUNTIF(_row3, three), COUNTIF(_col8, three), COUNTIF(_sq13, three)) = 1), "", three)</f>
        <v>3</v>
      </c>
      <c r="AJ19" s="10">
        <f>IF(OR(K6 &gt;0, MAX(COUNTIF(_row3, three), COUNTIF(_col9, three), COUNTIF(_sq13, three)) = 1), "", three)</f>
        <v>3</v>
      </c>
      <c r="AK19" s="6">
        <f t="shared" si="21"/>
        <v>9</v>
      </c>
      <c r="AL19" s="45"/>
      <c r="AM19" s="26"/>
      <c r="AN19" s="161"/>
      <c r="AO19" s="35"/>
      <c r="AP19" s="36">
        <v>9</v>
      </c>
      <c r="AQ19" s="37">
        <v>8</v>
      </c>
      <c r="AR19" s="35"/>
      <c r="AS19" s="36"/>
      <c r="AT19" s="37"/>
      <c r="AU19" s="35"/>
      <c r="AV19" s="36">
        <v>6</v>
      </c>
      <c r="AW19" s="37"/>
      <c r="AX19" s="166"/>
      <c r="AY19" s="26"/>
      <c r="BJ19" s="11"/>
      <c r="BK19" s="11"/>
    </row>
    <row r="20" spans="1:63" x14ac:dyDescent="0.2">
      <c r="A20" s="26"/>
      <c r="B20" s="46"/>
      <c r="C20" s="44">
        <v>4</v>
      </c>
      <c r="D20" s="2">
        <f>IF(OR(C7 &gt;0, MAX(COUNTIF(_row4, one), COUNTIF(_col1, one), COUNTIF(_sq21, one)) = 1), "", one)</f>
        <v>1</v>
      </c>
      <c r="E20" s="3">
        <f>IF(OR(D7 &gt;0, MAX(COUNTIF(_row4, one), COUNTIF(_col2, one), COUNTIF(_sq21, one)) = 1), "", one)</f>
        <v>1</v>
      </c>
      <c r="F20" s="4">
        <f>IF(OR(E7 &gt;0, MAX(COUNTIF(_row4, one), COUNTIF(_col3, one), COUNTIF(_sq21, one)) = 1), "", one)</f>
        <v>1</v>
      </c>
      <c r="G20" s="2">
        <f>IF(OR(F7 &gt;0, MAX(COUNTIF(_row4, one), COUNTIF(_col4, one), COUNTIF(_sq22, one)) = 1), "", one)</f>
        <v>1</v>
      </c>
      <c r="H20" s="3">
        <f>IF(OR(G7 &gt;0, MAX(COUNTIF(_row4, one), COUNTIF(_col5, one), COUNTIF(_sq22, one)) = 1), "", one)</f>
        <v>1</v>
      </c>
      <c r="I20" s="4">
        <f>IF(OR(H7 &gt;0, MAX(COUNTIF(_row4, one), COUNTIF(_col6, one), COUNTIF(_sq22, one)) = 1), "", one)</f>
        <v>1</v>
      </c>
      <c r="J20" s="2">
        <f>IF(OR(I7 &gt;0, MAX(COUNTIF(_row4, one), COUNTIF(_col7, one), COUNTIF(_sq23, one)) = 1), "", one)</f>
        <v>1</v>
      </c>
      <c r="K20" s="3">
        <f>IF(OR(J7 &gt;0, MAX(COUNTIF(_row4, one), COUNTIF(_col8, one), COUNTIF(_sq23, one)) = 1), "", one)</f>
        <v>1</v>
      </c>
      <c r="L20" s="4">
        <f>IF(OR(K7 &gt;0, MAX(COUNTIF(_row4, one), COUNTIF(_col9, one), COUNTIF(_sq23, one)) = 1), "", one)</f>
        <v>1</v>
      </c>
      <c r="M20" s="6">
        <f t="shared" si="19"/>
        <v>9</v>
      </c>
      <c r="N20" s="44"/>
      <c r="O20" s="44">
        <v>4</v>
      </c>
      <c r="P20" s="2">
        <f>IF(OR(C7 &gt;0, MAX(COUNTIF(_row4, two), COUNTIF(_col1, two), COUNTIF(_sq21, two)) = 1), "", two)</f>
        <v>2</v>
      </c>
      <c r="Q20" s="3">
        <f>IF(OR(D7 &gt;0, MAX(COUNTIF(_row4, two), COUNTIF(_col2, two), COUNTIF(_sq21, two)) = 1), "", two)</f>
        <v>2</v>
      </c>
      <c r="R20" s="4">
        <f>IF(OR(E7 &gt;0, MAX(COUNTIF(_row4, two), COUNTIF(_col3, two), COUNTIF(_sq21, two)) = 1), "", two)</f>
        <v>2</v>
      </c>
      <c r="S20" s="2">
        <f>IF(OR(F7 &gt;0, MAX(COUNTIF(_row4, two), COUNTIF(_col4, two), COUNTIF(_sq22, two)) = 1), "", two)</f>
        <v>2</v>
      </c>
      <c r="T20" s="3">
        <f>IF(OR(G7 &gt;0, MAX(COUNTIF(_row4, two), COUNTIF(_col5, two), COUNTIF(_sq22, two)) = 1), "", two)</f>
        <v>2</v>
      </c>
      <c r="U20" s="4">
        <f>IF(OR(H7 &gt;0, MAX(COUNTIF(_row4, two), COUNTIF(_col6, two), COUNTIF(_sq22, two)) = 1), "", two)</f>
        <v>2</v>
      </c>
      <c r="V20" s="2">
        <f>IF(OR(I7 &gt;0, MAX(COUNTIF(_row4, two), COUNTIF(_col7, two), COUNTIF(_sq23, two)) = 1), "", two)</f>
        <v>2</v>
      </c>
      <c r="W20" s="3">
        <f>IF(OR(J7 &gt;0, MAX(COUNTIF(_row4, two), COUNTIF(_col8, two), COUNTIF(_sq23, two)) = 1), "", two)</f>
        <v>2</v>
      </c>
      <c r="X20" s="4">
        <f>IF(OR(K7 &gt;0, MAX(COUNTIF(_row4, two), COUNTIF(_col9, two), COUNTIF(_sq23, two)) = 1), "", two)</f>
        <v>2</v>
      </c>
      <c r="Y20" s="6">
        <f t="shared" si="20"/>
        <v>9</v>
      </c>
      <c r="Z20" s="44"/>
      <c r="AA20" s="44">
        <v>4</v>
      </c>
      <c r="AB20" s="2">
        <f>IF(OR(C7 &gt;0, MAX(COUNTIF(_row4, three), COUNTIF(_col1, three), COUNTIF(_sq21, three)) = 1), "", three)</f>
        <v>3</v>
      </c>
      <c r="AC20" s="3">
        <f>IF(OR(D7 &gt;0, MAX(COUNTIF(_row4, three), COUNTIF(_col2, three), COUNTIF(_sq21, three)) = 1), "", three)</f>
        <v>3</v>
      </c>
      <c r="AD20" s="4">
        <f>IF(OR(E7 &gt;0, MAX(COUNTIF(_row4, three), COUNTIF(_col3, three), COUNTIF(_sq21, three)) = 1), "", three)</f>
        <v>3</v>
      </c>
      <c r="AE20" s="2">
        <f>IF(OR(F7 &gt;0, MAX(COUNTIF(_row4, three), COUNTIF(_col4, three), COUNTIF(_sq22, three)) = 1), "", three)</f>
        <v>3</v>
      </c>
      <c r="AF20" s="3">
        <f>IF(OR(G7 &gt;0, MAX(COUNTIF(_row4, three), COUNTIF(_col5, three), COUNTIF(_sq22, three)) = 1), "", three)</f>
        <v>3</v>
      </c>
      <c r="AG20" s="4">
        <f>IF(OR(H7 &gt;0, MAX(COUNTIF(_row4, three), COUNTIF(_col6, three), COUNTIF(_sq22, three)) = 1), "", three)</f>
        <v>3</v>
      </c>
      <c r="AH20" s="2">
        <f>IF(OR(I7 &gt;0, MAX(COUNTIF(_row4, three), COUNTIF(_col7, three), COUNTIF(_sq23, three)) = 1), "", three)</f>
        <v>3</v>
      </c>
      <c r="AI20" s="3">
        <f>IF(OR(J7 &gt;0, MAX(COUNTIF(_row4, three), COUNTIF(_col8, three), COUNTIF(_sq23, three)) = 1), "", three)</f>
        <v>3</v>
      </c>
      <c r="AJ20" s="4">
        <f>IF(OR(K7 &gt;0, MAX(COUNTIF(_row4, three), COUNTIF(_col9, three), COUNTIF(_sq23, three)) = 1), "", three)</f>
        <v>3</v>
      </c>
      <c r="AK20" s="6">
        <f t="shared" si="21"/>
        <v>9</v>
      </c>
      <c r="AL20" s="45"/>
      <c r="AM20" s="26"/>
      <c r="AN20" s="161"/>
      <c r="AO20" s="29">
        <v>8</v>
      </c>
      <c r="AP20" s="30"/>
      <c r="AQ20" s="31"/>
      <c r="AR20" s="29">
        <v>7</v>
      </c>
      <c r="AS20" s="30">
        <v>6</v>
      </c>
      <c r="AT20" s="31"/>
      <c r="AU20" s="29"/>
      <c r="AV20" s="30"/>
      <c r="AW20" s="31">
        <v>3</v>
      </c>
      <c r="AX20" s="166"/>
      <c r="AY20" s="26"/>
      <c r="BJ20" s="11"/>
      <c r="BK20" s="11"/>
    </row>
    <row r="21" spans="1:63" x14ac:dyDescent="0.2">
      <c r="A21" s="26"/>
      <c r="B21" s="46"/>
      <c r="C21" s="44">
        <v>5</v>
      </c>
      <c r="D21" s="5">
        <f>IF(OR(C8 &gt;0, MAX(COUNTIF(_row5, one), COUNTIF(_col1, one), COUNTIF(_sq21, one)) = 1), "", one)</f>
        <v>1</v>
      </c>
      <c r="E21" s="6">
        <f>IF(OR(D8 &gt;0, MAX(COUNTIF(_row5, one), COUNTIF(_col2, one), COUNTIF(_sq21, one)) = 1), "", one)</f>
        <v>1</v>
      </c>
      <c r="F21" s="7">
        <f>IF(OR(E8 &gt;0, MAX(COUNTIF(_row5, one), COUNTIF(_col3, one), COUNTIF(_sq21, one)) = 1), "", one)</f>
        <v>1</v>
      </c>
      <c r="G21" s="5">
        <f>IF(OR(F8 &gt;0, MAX(COUNTIF(_row5, one), COUNTIF(_col4, one), COUNTIF(_sq22, one)) = 1), "", one)</f>
        <v>1</v>
      </c>
      <c r="H21" s="6">
        <f>IF(OR(G8 &gt;0, MAX(COUNTIF(_row5, one), COUNTIF(_col5, one), COUNTIF(_sq22, one)) = 1), "", one)</f>
        <v>1</v>
      </c>
      <c r="I21" s="7">
        <f>IF(OR(H8 &gt;0, MAX(COUNTIF(_row5, one), COUNTIF(_col6, one), COUNTIF(_sq22, one)) = 1), "", one)</f>
        <v>1</v>
      </c>
      <c r="J21" s="5">
        <f>IF(OR(I8 &gt;0, MAX(COUNTIF(_row5, one), COUNTIF(_col7, one), COUNTIF(_sq23, one)) = 1), "", one)</f>
        <v>1</v>
      </c>
      <c r="K21" s="6">
        <f>IF(OR(J8 &gt;0, MAX(COUNTIF(_row5, one), COUNTIF(_col8, one), COUNTIF(_sq23, one)) = 1), "", one)</f>
        <v>1</v>
      </c>
      <c r="L21" s="7">
        <f>IF(OR(K8 &gt;0, MAX(COUNTIF(_row5, one), COUNTIF(_col9, one), COUNTIF(_sq23, one)) = 1), "", one)</f>
        <v>1</v>
      </c>
      <c r="M21" s="6">
        <f t="shared" si="19"/>
        <v>9</v>
      </c>
      <c r="N21" s="44"/>
      <c r="O21" s="44">
        <v>5</v>
      </c>
      <c r="P21" s="5">
        <f>IF(OR(C8 &gt;0, MAX(COUNTIF(_row5, two), COUNTIF(_col1, two), COUNTIF(_sq21, two)) = 1), "", two)</f>
        <v>2</v>
      </c>
      <c r="Q21" s="6">
        <f>IF(OR(D8 &gt;0, MAX(COUNTIF(_row5, two), COUNTIF(_col2, two), COUNTIF(_sq21, two)) = 1), "", two)</f>
        <v>2</v>
      </c>
      <c r="R21" s="7">
        <f>IF(OR(E8 &gt;0, MAX(COUNTIF(_row5, two), COUNTIF(_col3, two), COUNTIF(_sq21, two)) = 1), "", two)</f>
        <v>2</v>
      </c>
      <c r="S21" s="5">
        <f>IF(OR(F8 &gt;0, MAX(COUNTIF(_row5, two), COUNTIF(_col4, two), COUNTIF(_sq22, two)) = 1), "", two)</f>
        <v>2</v>
      </c>
      <c r="T21" s="6">
        <f>IF(OR(G8 &gt;0, MAX(COUNTIF(_row5, two), COUNTIF(_col5, two), COUNTIF(_sq22, two)) = 1), "", two)</f>
        <v>2</v>
      </c>
      <c r="U21" s="7">
        <f>IF(OR(H8 &gt;0, MAX(COUNTIF(_row5, two), COUNTIF(_col6, two), COUNTIF(_sq22, two)) = 1), "", two)</f>
        <v>2</v>
      </c>
      <c r="V21" s="5">
        <f>IF(OR(I8 &gt;0, MAX(COUNTIF(_row5, two), COUNTIF(_col7, two), COUNTIF(_sq23, two)) = 1), "", two)</f>
        <v>2</v>
      </c>
      <c r="W21" s="6">
        <f>IF(OR(J8 &gt;0, MAX(COUNTIF(_row5, two), COUNTIF(_col8, two), COUNTIF(_sq23, two)) = 1), "", two)</f>
        <v>2</v>
      </c>
      <c r="X21" s="7">
        <f>IF(OR(K8 &gt;0, MAX(COUNTIF(_row5, two), COUNTIF(_col9, two), COUNTIF(_sq23, two)) = 1), "", two)</f>
        <v>2</v>
      </c>
      <c r="Y21" s="6">
        <f t="shared" si="20"/>
        <v>9</v>
      </c>
      <c r="Z21" s="44"/>
      <c r="AA21" s="44">
        <v>5</v>
      </c>
      <c r="AB21" s="5">
        <f>IF(OR(C8 &gt;0, MAX(COUNTIF(_row5, three), COUNTIF(_col1, three), COUNTIF(_sq21, three)) = 1), "", three)</f>
        <v>3</v>
      </c>
      <c r="AC21" s="6">
        <f>IF(OR(D8 &gt;0, MAX(COUNTIF(_row5, three), COUNTIF(_col2, three), COUNTIF(_sq21, three)) = 1), "", three)</f>
        <v>3</v>
      </c>
      <c r="AD21" s="7">
        <f>IF(OR(E8 &gt;0, MAX(COUNTIF(_row5, three), COUNTIF(_col3, three), COUNTIF(_sq21, three)) = 1), "", three)</f>
        <v>3</v>
      </c>
      <c r="AE21" s="5">
        <f>IF(OR(F8 &gt;0, MAX(COUNTIF(_row5, three), COUNTIF(_col4, three), COUNTIF(_sq22, three)) = 1), "", three)</f>
        <v>3</v>
      </c>
      <c r="AF21" s="6">
        <f>IF(OR(G8 &gt;0, MAX(COUNTIF(_row5, three), COUNTIF(_col5, three), COUNTIF(_sq22, three)) = 1), "", three)</f>
        <v>3</v>
      </c>
      <c r="AG21" s="7">
        <f>IF(OR(H8 &gt;0, MAX(COUNTIF(_row5, three), COUNTIF(_col6, three), COUNTIF(_sq22, three)) = 1), "", three)</f>
        <v>3</v>
      </c>
      <c r="AH21" s="5">
        <f>IF(OR(I8 &gt;0, MAX(COUNTIF(_row5, three), COUNTIF(_col7, three), COUNTIF(_sq23, three)) = 1), "", three)</f>
        <v>3</v>
      </c>
      <c r="AI21" s="6">
        <f>IF(OR(J8 &gt;0, MAX(COUNTIF(_row5, three), COUNTIF(_col8, three), COUNTIF(_sq23, three)) = 1), "", three)</f>
        <v>3</v>
      </c>
      <c r="AJ21" s="7">
        <f>IF(OR(K8 &gt;0, MAX(COUNTIF(_row5, three), COUNTIF(_col9, three), COUNTIF(_sq23, three)) = 1), "", three)</f>
        <v>3</v>
      </c>
      <c r="AK21" s="6">
        <f t="shared" si="21"/>
        <v>9</v>
      </c>
      <c r="AL21" s="45"/>
      <c r="AM21" s="26"/>
      <c r="AN21" s="161"/>
      <c r="AO21" s="32">
        <v>4</v>
      </c>
      <c r="AP21" s="33">
        <v>2</v>
      </c>
      <c r="AQ21" s="34">
        <v>6</v>
      </c>
      <c r="AR21" s="32">
        <v>8</v>
      </c>
      <c r="AS21" s="33">
        <v>5</v>
      </c>
      <c r="AT21" s="34">
        <v>3</v>
      </c>
      <c r="AU21" s="32">
        <v>7</v>
      </c>
      <c r="AV21" s="33">
        <v>9</v>
      </c>
      <c r="AW21" s="34">
        <v>1</v>
      </c>
      <c r="AX21" s="166"/>
      <c r="AY21" s="26"/>
      <c r="BJ21" s="11"/>
      <c r="BK21" s="11"/>
    </row>
    <row r="22" spans="1:63" ht="13.5" thickBot="1" x14ac:dyDescent="0.25">
      <c r="A22" s="26"/>
      <c r="B22" s="46"/>
      <c r="C22" s="44">
        <v>6</v>
      </c>
      <c r="D22" s="8">
        <f>IF(OR(C9 &gt;0, MAX(COUNTIF(_row6, one), COUNTIF(_col1, one), COUNTIF(_sq21, one)) = 1), "", one)</f>
        <v>1</v>
      </c>
      <c r="E22" s="9">
        <f>IF(OR(D9 &gt;0, MAX(COUNTIF(_row6, one), COUNTIF(_col2, one), COUNTIF(_sq21, one)) = 1), "", one)</f>
        <v>1</v>
      </c>
      <c r="F22" s="10">
        <f>IF(OR(E9 &gt;0, MAX(COUNTIF(_row6, one), COUNTIF(_col3, one), COUNTIF(_sq21, one)) = 1), "", one)</f>
        <v>1</v>
      </c>
      <c r="G22" s="8">
        <f>IF(OR(F9 &gt;0, MAX(COUNTIF(_row6, one), COUNTIF(_col4, one), COUNTIF(_sq22, one)) = 1), "", one)</f>
        <v>1</v>
      </c>
      <c r="H22" s="9">
        <f>IF(OR(G9 &gt;0, MAX(COUNTIF(_row6, one), COUNTIF(_col5, one), COUNTIF(_sq22, one)) = 1), "", one)</f>
        <v>1</v>
      </c>
      <c r="I22" s="10">
        <f>IF(OR(H9 &gt;0, MAX(COUNTIF(_row6, one), COUNTIF(_col6, one), COUNTIF(_sq22, one)) = 1), "", one)</f>
        <v>1</v>
      </c>
      <c r="J22" s="8">
        <f>IF(OR(I9 &gt;0, MAX(COUNTIF(_row6, one), COUNTIF(_col7, one), COUNTIF(_sq23, one)) = 1), "", one)</f>
        <v>1</v>
      </c>
      <c r="K22" s="9">
        <f>IF(OR(J9 &gt;0, MAX(COUNTIF(_row6, one), COUNTIF(_col8, one), COUNTIF(_sq23, one)) = 1), "", one)</f>
        <v>1</v>
      </c>
      <c r="L22" s="10">
        <f>IF(OR(K9 &gt;0, MAX(COUNTIF(_row6, one), COUNTIF(_col9, one), COUNTIF(_sq23, one)) = 1), "", one)</f>
        <v>1</v>
      </c>
      <c r="M22" s="6">
        <f t="shared" si="19"/>
        <v>9</v>
      </c>
      <c r="N22" s="44"/>
      <c r="O22" s="44">
        <v>6</v>
      </c>
      <c r="P22" s="8">
        <f>IF(OR(C9 &gt;0, MAX(COUNTIF(_row6, two), COUNTIF(_col1, two), COUNTIF(_sq21, two)) = 1), "", two)</f>
        <v>2</v>
      </c>
      <c r="Q22" s="9">
        <f>IF(OR(D9 &gt;0, MAX(COUNTIF(_row6, two), COUNTIF(_col2, two), COUNTIF(_sq21, two)) = 1), "", two)</f>
        <v>2</v>
      </c>
      <c r="R22" s="10">
        <f>IF(OR(E9 &gt;0, MAX(COUNTIF(_row6, two), COUNTIF(_col3, two), COUNTIF(_sq21, two)) = 1), "", two)</f>
        <v>2</v>
      </c>
      <c r="S22" s="8">
        <f>IF(OR(F9 &gt;0, MAX(COUNTIF(_row6, two), COUNTIF(_col4, two), COUNTIF(_sq22, two)) = 1), "", two)</f>
        <v>2</v>
      </c>
      <c r="T22" s="9">
        <f>IF(OR(G9 &gt;0, MAX(COUNTIF(_row6, two), COUNTIF(_col5, two), COUNTIF(_sq22, two)) = 1), "", two)</f>
        <v>2</v>
      </c>
      <c r="U22" s="10">
        <f>IF(OR(H9 &gt;0, MAX(COUNTIF(_row6, two), COUNTIF(_col6, two), COUNTIF(_sq22, two)) = 1), "", two)</f>
        <v>2</v>
      </c>
      <c r="V22" s="8">
        <f>IF(OR(I9 &gt;0, MAX(COUNTIF(_row6, two), COUNTIF(_col7, two), COUNTIF(_sq23, two)) = 1), "", two)</f>
        <v>2</v>
      </c>
      <c r="W22" s="9">
        <f>IF(OR(J9 &gt;0, MAX(COUNTIF(_row6, two), COUNTIF(_col8, two), COUNTIF(_sq23, two)) = 1), "", two)</f>
        <v>2</v>
      </c>
      <c r="X22" s="10">
        <f>IF(OR(K9 &gt;0, MAX(COUNTIF(_row6, two), COUNTIF(_col9, two), COUNTIF(_sq23, two)) = 1), "", two)</f>
        <v>2</v>
      </c>
      <c r="Y22" s="6">
        <f t="shared" si="20"/>
        <v>9</v>
      </c>
      <c r="Z22" s="44"/>
      <c r="AA22" s="44">
        <v>6</v>
      </c>
      <c r="AB22" s="8">
        <f>IF(OR(C9 &gt;0, MAX(COUNTIF(_row6, three), COUNTIF(_col1, three), COUNTIF(_sq21, three)) = 1), "", three)</f>
        <v>3</v>
      </c>
      <c r="AC22" s="9">
        <f>IF(OR(D9 &gt;0, MAX(COUNTIF(_row6, three), COUNTIF(_col2, three), COUNTIF(_sq21, three)) = 1), "", three)</f>
        <v>3</v>
      </c>
      <c r="AD22" s="10">
        <f>IF(OR(E9 &gt;0, MAX(COUNTIF(_row6, three), COUNTIF(_col3, three), COUNTIF(_sq21, three)) = 1), "", three)</f>
        <v>3</v>
      </c>
      <c r="AE22" s="8">
        <f>IF(OR(F9 &gt;0, MAX(COUNTIF(_row6, three), COUNTIF(_col4, three), COUNTIF(_sq22, three)) = 1), "", three)</f>
        <v>3</v>
      </c>
      <c r="AF22" s="9">
        <f>IF(OR(G9 &gt;0, MAX(COUNTIF(_row6, three), COUNTIF(_col5, three), COUNTIF(_sq22, three)) = 1), "", three)</f>
        <v>3</v>
      </c>
      <c r="AG22" s="10">
        <f>IF(OR(H9 &gt;0, MAX(COUNTIF(_row6, three), COUNTIF(_col6, three), COUNTIF(_sq22, three)) = 1), "", three)</f>
        <v>3</v>
      </c>
      <c r="AH22" s="8">
        <f>IF(OR(I9 &gt;0, MAX(COUNTIF(_row6, three), COUNTIF(_col7, three), COUNTIF(_sq23, three)) = 1), "", three)</f>
        <v>3</v>
      </c>
      <c r="AI22" s="9">
        <f>IF(OR(J9 &gt;0, MAX(COUNTIF(_row6, three), COUNTIF(_col8, three), COUNTIF(_sq23, three)) = 1), "", three)</f>
        <v>3</v>
      </c>
      <c r="AJ22" s="10">
        <f>IF(OR(K9 &gt;0, MAX(COUNTIF(_row6, three), COUNTIF(_col9, three), COUNTIF(_sq23, three)) = 1), "", three)</f>
        <v>3</v>
      </c>
      <c r="AK22" s="6">
        <f t="shared" si="21"/>
        <v>9</v>
      </c>
      <c r="AL22" s="45"/>
      <c r="AM22" s="26"/>
      <c r="AN22" s="161"/>
      <c r="AO22" s="35">
        <v>7</v>
      </c>
      <c r="AP22" s="36"/>
      <c r="AQ22" s="37"/>
      <c r="AR22" s="35">
        <v>9</v>
      </c>
      <c r="AS22" s="36">
        <v>2</v>
      </c>
      <c r="AT22" s="37"/>
      <c r="AU22" s="35"/>
      <c r="AV22" s="36"/>
      <c r="AW22" s="37">
        <v>6</v>
      </c>
      <c r="AX22" s="166"/>
      <c r="AY22" s="26"/>
    </row>
    <row r="23" spans="1:63" x14ac:dyDescent="0.2">
      <c r="A23" s="26"/>
      <c r="B23" s="46"/>
      <c r="C23" s="44">
        <v>7</v>
      </c>
      <c r="D23" s="2">
        <f>IF(OR(C10 &gt;0, MAX(COUNTIF(_row7, one), COUNTIF(_col1, one), COUNTIF(_sq31, one)) = 1), "", one)</f>
        <v>1</v>
      </c>
      <c r="E23" s="3">
        <f>IF(OR(D10 &gt;0, MAX(COUNTIF(_row7, one), COUNTIF(_col2, one), COUNTIF(_sq31, one)) = 1), "", one)</f>
        <v>1</v>
      </c>
      <c r="F23" s="4">
        <f>IF(OR(E10 &gt;0, MAX(COUNTIF(_row7, one), COUNTIF(_col3, one), COUNTIF(_sq31, one)) = 1), "", one)</f>
        <v>1</v>
      </c>
      <c r="G23" s="2">
        <f>IF(OR(F10 &gt;0, MAX(COUNTIF(_row7, one), COUNTIF(_col4, one), COUNTIF(_sq32, one)) = 1), "", one)</f>
        <v>1</v>
      </c>
      <c r="H23" s="3">
        <f>IF(OR(G10 &gt;0, MAX(COUNTIF(_row7, one), COUNTIF(_col5, one), COUNTIF(_sq32, one)) = 1), "", one)</f>
        <v>1</v>
      </c>
      <c r="I23" s="4">
        <f>IF(OR(H10 &gt;0, MAX(COUNTIF(_row7, one), COUNTIF(_col6, one), COUNTIF(_sq32, one)) = 1), "", one)</f>
        <v>1</v>
      </c>
      <c r="J23" s="2">
        <f>IF(OR(I10 &gt;0, MAX(COUNTIF(_row7, one), COUNTIF(_col7, one), COUNTIF(_sq33, one)) = 1), "", one)</f>
        <v>1</v>
      </c>
      <c r="K23" s="3">
        <f>IF(OR(J10 &gt;0, MAX(COUNTIF(_row7, one), COUNTIF(_col8, one), COUNTIF(_sq33, one)) = 1), "", one)</f>
        <v>1</v>
      </c>
      <c r="L23" s="4">
        <f>IF(OR(K10 &gt;0, MAX(COUNTIF(_row7, one), COUNTIF(_col9, one), COUNTIF(_sq33, one)) = 1), "", one)</f>
        <v>1</v>
      </c>
      <c r="M23" s="6">
        <f t="shared" si="19"/>
        <v>9</v>
      </c>
      <c r="N23" s="44"/>
      <c r="O23" s="44">
        <v>7</v>
      </c>
      <c r="P23" s="2">
        <f>IF(OR(C10 &gt;0, MAX(COUNTIF(_row7, two), COUNTIF(_col1, two), COUNTIF(_sq31, two)) = 1), "", two)</f>
        <v>2</v>
      </c>
      <c r="Q23" s="3">
        <f>IF(OR(D10 &gt;0, MAX(COUNTIF(_row7, two), COUNTIF(_col2, two), COUNTIF(_sq31, two)) = 1), "", two)</f>
        <v>2</v>
      </c>
      <c r="R23" s="4">
        <f>IF(OR(E10 &gt;0, MAX(COUNTIF(_row7, two), COUNTIF(_col3, two), COUNTIF(_sq31, two)) = 1), "", two)</f>
        <v>2</v>
      </c>
      <c r="S23" s="2">
        <f>IF(OR(F10 &gt;0, MAX(COUNTIF(_row7, two), COUNTIF(_col4, two), COUNTIF(_sq32, two)) = 1), "", two)</f>
        <v>2</v>
      </c>
      <c r="T23" s="3">
        <f>IF(OR(G10 &gt;0, MAX(COUNTIF(_row7, two), COUNTIF(_col5, two), COUNTIF(_sq32, two)) = 1), "", two)</f>
        <v>2</v>
      </c>
      <c r="U23" s="4">
        <f>IF(OR(H10 &gt;0, MAX(COUNTIF(_row7, two), COUNTIF(_col6, two), COUNTIF(_sq32, two)) = 1), "", two)</f>
        <v>2</v>
      </c>
      <c r="V23" s="2">
        <f>IF(OR(I10 &gt;0, MAX(COUNTIF(_row7, two), COUNTIF(_col7, two), COUNTIF(_sq33, two)) = 1), "", two)</f>
        <v>2</v>
      </c>
      <c r="W23" s="3">
        <f>IF(OR(J10 &gt;0, MAX(COUNTIF(_row7, two), COUNTIF(_col8, two), COUNTIF(_sq33, two)) = 1), "", two)</f>
        <v>2</v>
      </c>
      <c r="X23" s="4">
        <f>IF(OR(K10 &gt;0, MAX(COUNTIF(_row7, two), COUNTIF(_col9, two), COUNTIF(_sq33, two)) = 1), "", two)</f>
        <v>2</v>
      </c>
      <c r="Y23" s="6">
        <f t="shared" si="20"/>
        <v>9</v>
      </c>
      <c r="Z23" s="44"/>
      <c r="AA23" s="44">
        <v>7</v>
      </c>
      <c r="AB23" s="2">
        <f>IF(OR(C10 &gt;0, MAX(COUNTIF(_row7, three), COUNTIF(_col1, three), COUNTIF(_sq31, three)) = 1), "", three)</f>
        <v>3</v>
      </c>
      <c r="AC23" s="3">
        <f>IF(OR(D10 &gt;0, MAX(COUNTIF(_row7, three), COUNTIF(_col2, three), COUNTIF(_sq31, three)) = 1), "", three)</f>
        <v>3</v>
      </c>
      <c r="AD23" s="4">
        <f>IF(OR(E10 &gt;0, MAX(COUNTIF(_row7, three), COUNTIF(_col3, three), COUNTIF(_sq31, three)) = 1), "", three)</f>
        <v>3</v>
      </c>
      <c r="AE23" s="2">
        <f>IF(OR(F10 &gt;0, MAX(COUNTIF(_row7, three), COUNTIF(_col4, three), COUNTIF(_sq32, three)) = 1), "", three)</f>
        <v>3</v>
      </c>
      <c r="AF23" s="3">
        <f>IF(OR(G10 &gt;0, MAX(COUNTIF(_row7, three), COUNTIF(_col5, three), COUNTIF(_sq32, three)) = 1), "", three)</f>
        <v>3</v>
      </c>
      <c r="AG23" s="4">
        <f>IF(OR(H10 &gt;0, MAX(COUNTIF(_row7, three), COUNTIF(_col6, three), COUNTIF(_sq32, three)) = 1), "", three)</f>
        <v>3</v>
      </c>
      <c r="AH23" s="2">
        <f>IF(OR(I10 &gt;0, MAX(COUNTIF(_row7, three), COUNTIF(_col7, three), COUNTIF(_sq33, three)) = 1), "", three)</f>
        <v>3</v>
      </c>
      <c r="AI23" s="3">
        <f>IF(OR(J10 &gt;0, MAX(COUNTIF(_row7, three), COUNTIF(_col8, three), COUNTIF(_sq33, three)) = 1), "", three)</f>
        <v>3</v>
      </c>
      <c r="AJ23" s="4">
        <f>IF(OR(K10 &gt;0, MAX(COUNTIF(_row7, three), COUNTIF(_col9, three), COUNTIF(_sq33, three)) = 1), "", three)</f>
        <v>3</v>
      </c>
      <c r="AK23" s="6">
        <f t="shared" si="21"/>
        <v>9</v>
      </c>
      <c r="AL23" s="45"/>
      <c r="AM23" s="26"/>
      <c r="AN23" s="161"/>
      <c r="AO23" s="29"/>
      <c r="AP23" s="30">
        <v>6</v>
      </c>
      <c r="AQ23" s="31"/>
      <c r="AR23" s="29"/>
      <c r="AS23" s="30"/>
      <c r="AT23" s="31"/>
      <c r="AU23" s="29">
        <v>2</v>
      </c>
      <c r="AV23" s="30">
        <v>8</v>
      </c>
      <c r="AW23" s="31"/>
      <c r="AX23" s="166"/>
      <c r="AY23" s="26"/>
    </row>
    <row r="24" spans="1:63" x14ac:dyDescent="0.2">
      <c r="A24" s="26"/>
      <c r="B24" s="46"/>
      <c r="C24" s="44">
        <v>8</v>
      </c>
      <c r="D24" s="5">
        <f>IF(OR(C11 &gt;0, MAX(COUNTIF(_row8, one), COUNTIF(_col1, one), COUNTIF(_sq31, one)) = 1), "", one)</f>
        <v>1</v>
      </c>
      <c r="E24" s="6">
        <f>IF(OR(D11 &gt;0, MAX(COUNTIF(_row8, one), COUNTIF(_col2, one), COUNTIF(_sq31, one)) = 1), "", one)</f>
        <v>1</v>
      </c>
      <c r="F24" s="7">
        <f>IF(OR(E11 &gt;0, MAX(COUNTIF(_row8, one), COUNTIF(_col3, one), COUNTIF(_sq31, one)) = 1), "", one)</f>
        <v>1</v>
      </c>
      <c r="G24" s="5">
        <f>IF(OR(F11 &gt;0, MAX(COUNTIF(_row8, one), COUNTIF(_col4, one), COUNTIF(_sq32, one)) = 1), "", one)</f>
        <v>1</v>
      </c>
      <c r="H24" s="6">
        <f>IF(OR(G11 &gt;0, MAX(COUNTIF(_row8, one), COUNTIF(_col5, one), COUNTIF(_sq32, one)) = 1), "", one)</f>
        <v>1</v>
      </c>
      <c r="I24" s="7">
        <f>IF(OR(H11 &gt;0, MAX(COUNTIF(_row8, one), COUNTIF(_col6, one), COUNTIF(_sq32, one)) = 1), "", one)</f>
        <v>1</v>
      </c>
      <c r="J24" s="5">
        <f>IF(OR(I11 &gt;0, MAX(COUNTIF(_row8, one), COUNTIF(_col7, one), COUNTIF(_sq33, one)) = 1), "", one)</f>
        <v>1</v>
      </c>
      <c r="K24" s="6">
        <f>IF(OR(J11 &gt;0, MAX(COUNTIF(_row8, one), COUNTIF(_col8, one), COUNTIF(_sq33, one)) = 1), "", one)</f>
        <v>1</v>
      </c>
      <c r="L24" s="7">
        <f>IF(OR(K11 &gt;0, MAX(COUNTIF(_row8, one), COUNTIF(_col9, one), COUNTIF(_sq33, one)) = 1), "", one)</f>
        <v>1</v>
      </c>
      <c r="M24" s="6">
        <f t="shared" si="19"/>
        <v>9</v>
      </c>
      <c r="N24" s="44"/>
      <c r="O24" s="44">
        <v>8</v>
      </c>
      <c r="P24" s="5">
        <f>IF(OR(C11 &gt;0, MAX(COUNTIF(_row8, two), COUNTIF(_col1, two), COUNTIF(_sq31, two)) = 1), "", two)</f>
        <v>2</v>
      </c>
      <c r="Q24" s="6">
        <f>IF(OR(D11 &gt;0, MAX(COUNTIF(_row8, two), COUNTIF(_col2, two), COUNTIF(_sq31, two)) = 1), "", two)</f>
        <v>2</v>
      </c>
      <c r="R24" s="7">
        <f>IF(OR(E11 &gt;0, MAX(COUNTIF(_row8, two), COUNTIF(_col3, two), COUNTIF(_sq31, two)) = 1), "", two)</f>
        <v>2</v>
      </c>
      <c r="S24" s="5">
        <f>IF(OR(F11 &gt;0, MAX(COUNTIF(_row8, two), COUNTIF(_col4, two), COUNTIF(_sq32, two)) = 1), "", two)</f>
        <v>2</v>
      </c>
      <c r="T24" s="6">
        <f>IF(OR(G11 &gt;0, MAX(COUNTIF(_row8, two), COUNTIF(_col5, two), COUNTIF(_sq32, two)) = 1), "", two)</f>
        <v>2</v>
      </c>
      <c r="U24" s="7">
        <f>IF(OR(H11 &gt;0, MAX(COUNTIF(_row8, two), COUNTIF(_col6, two), COUNTIF(_sq32, two)) = 1), "", two)</f>
        <v>2</v>
      </c>
      <c r="V24" s="5">
        <f>IF(OR(I11 &gt;0, MAX(COUNTIF(_row8, two), COUNTIF(_col7, two), COUNTIF(_sq33, two)) = 1), "", two)</f>
        <v>2</v>
      </c>
      <c r="W24" s="6">
        <f>IF(OR(J11 &gt;0, MAX(COUNTIF(_row8, two), COUNTIF(_col8, two), COUNTIF(_sq33, two)) = 1), "", two)</f>
        <v>2</v>
      </c>
      <c r="X24" s="7">
        <f>IF(OR(K11 &gt;0, MAX(COUNTIF(_row8, two), COUNTIF(_col9, two), COUNTIF(_sq33, two)) = 1), "", two)</f>
        <v>2</v>
      </c>
      <c r="Y24" s="6">
        <f t="shared" si="20"/>
        <v>9</v>
      </c>
      <c r="Z24" s="44"/>
      <c r="AA24" s="44">
        <v>8</v>
      </c>
      <c r="AB24" s="5">
        <f>IF(OR(C11 &gt;0, MAX(COUNTIF(_row8, three), COUNTIF(_col1, three), COUNTIF(_sq31, three)) = 1), "", three)</f>
        <v>3</v>
      </c>
      <c r="AC24" s="6">
        <f>IF(OR(D11 &gt;0, MAX(COUNTIF(_row8, three), COUNTIF(_col2, three), COUNTIF(_sq31, three)) = 1), "", three)</f>
        <v>3</v>
      </c>
      <c r="AD24" s="7">
        <f>IF(OR(E11 &gt;0, MAX(COUNTIF(_row8, three), COUNTIF(_col3, three), COUNTIF(_sq31, three)) = 1), "", three)</f>
        <v>3</v>
      </c>
      <c r="AE24" s="5">
        <f>IF(OR(F11 &gt;0, MAX(COUNTIF(_row8, three), COUNTIF(_col4, three), COUNTIF(_sq32, three)) = 1), "", three)</f>
        <v>3</v>
      </c>
      <c r="AF24" s="6">
        <f>IF(OR(G11 &gt;0, MAX(COUNTIF(_row8, three), COUNTIF(_col5, three), COUNTIF(_sq32, three)) = 1), "", three)</f>
        <v>3</v>
      </c>
      <c r="AG24" s="7">
        <f>IF(OR(H11 &gt;0, MAX(COUNTIF(_row8, three), COUNTIF(_col6, three), COUNTIF(_sq32, three)) = 1), "", three)</f>
        <v>3</v>
      </c>
      <c r="AH24" s="5">
        <f>IF(OR(I11 &gt;0, MAX(COUNTIF(_row8, three), COUNTIF(_col7, three), COUNTIF(_sq33, three)) = 1), "", three)</f>
        <v>3</v>
      </c>
      <c r="AI24" s="6">
        <f>IF(OR(J11 &gt;0, MAX(COUNTIF(_row8, three), COUNTIF(_col8, three), COUNTIF(_sq33, three)) = 1), "", three)</f>
        <v>3</v>
      </c>
      <c r="AJ24" s="7">
        <f>IF(OR(K11 &gt;0, MAX(COUNTIF(_row8, three), COUNTIF(_col9, three), COUNTIF(_sq33, three)) = 1), "", three)</f>
        <v>3</v>
      </c>
      <c r="AK24" s="6">
        <f t="shared" si="21"/>
        <v>9</v>
      </c>
      <c r="AL24" s="45"/>
      <c r="AM24" s="26"/>
      <c r="AN24" s="161"/>
      <c r="AO24" s="32"/>
      <c r="AP24" s="33"/>
      <c r="AQ24" s="34"/>
      <c r="AR24" s="32">
        <v>4</v>
      </c>
      <c r="AS24" s="33">
        <v>1</v>
      </c>
      <c r="AT24" s="34">
        <v>9</v>
      </c>
      <c r="AU24" s="32"/>
      <c r="AV24" s="33"/>
      <c r="AW24" s="34">
        <v>5</v>
      </c>
      <c r="AX24" s="166"/>
      <c r="AY24" s="26"/>
    </row>
    <row r="25" spans="1:63" ht="13.5" thickBot="1" x14ac:dyDescent="0.25">
      <c r="A25" s="26"/>
      <c r="B25" s="46"/>
      <c r="C25" s="44">
        <v>9</v>
      </c>
      <c r="D25" s="8">
        <f>IF(OR(C12 &gt;0, MAX(COUNTIF(_row9, one), COUNTIF(_col1, one), COUNTIF(_sq31, one)) = 1), "", one)</f>
        <v>1</v>
      </c>
      <c r="E25" s="9">
        <f>IF(OR(D12 &gt;0, MAX(COUNTIF(_row9, one), COUNTIF(_col2, one), COUNTIF(_sq31, one)) = 1), "", one)</f>
        <v>1</v>
      </c>
      <c r="F25" s="10">
        <f>IF(OR(E12 &gt;0, MAX(COUNTIF(_row9, one), COUNTIF(_col3, one), COUNTIF(_sq31, one)) = 1), "", one)</f>
        <v>1</v>
      </c>
      <c r="G25" s="8">
        <f>IF(OR(F12 &gt;0, MAX(COUNTIF(_row9, one), COUNTIF(_col4, one), COUNTIF(_sq32, one)) = 1), "", one)</f>
        <v>1</v>
      </c>
      <c r="H25" s="9">
        <f>IF(OR(G12 &gt;0, MAX(COUNTIF(_row9, one), COUNTIF(_col5, one), COUNTIF(_sq32, one)) = 1), "", one)</f>
        <v>1</v>
      </c>
      <c r="I25" s="10">
        <f>IF(OR(H12 &gt;0, MAX(COUNTIF(_row9, one), COUNTIF(_col6, one), COUNTIF(_sq32, one)) = 1), "", one)</f>
        <v>1</v>
      </c>
      <c r="J25" s="8">
        <f>IF(OR(I12 &gt;0, MAX(COUNTIF(_row9, one), COUNTIF(_col7, one), COUNTIF(_sq33, one)) = 1), "", one)</f>
        <v>1</v>
      </c>
      <c r="K25" s="9">
        <f>IF(OR(J12 &gt;0, MAX(COUNTIF(_row9, one), COUNTIF(_col8, one), COUNTIF(_sq33, one)) = 1), "", one)</f>
        <v>1</v>
      </c>
      <c r="L25" s="10">
        <f>IF(OR(K12 &gt;0, MAX(COUNTIF(_row9, one), COUNTIF(_col9, one), COUNTIF(_sq33, one)) = 1), "", one)</f>
        <v>1</v>
      </c>
      <c r="M25" s="6">
        <f t="shared" si="19"/>
        <v>9</v>
      </c>
      <c r="N25" s="44"/>
      <c r="O25" s="44">
        <v>9</v>
      </c>
      <c r="P25" s="8">
        <f>IF(OR(C12 &gt;0, MAX(COUNTIF(_row9, two), COUNTIF(_col1, two), COUNTIF(_sq31, two)) = 1), "", two)</f>
        <v>2</v>
      </c>
      <c r="Q25" s="9">
        <f>IF(OR(D12 &gt;0, MAX(COUNTIF(_row9, two), COUNTIF(_col2, two), COUNTIF(_sq31, two)) = 1), "", two)</f>
        <v>2</v>
      </c>
      <c r="R25" s="10">
        <f>IF(OR(E12 &gt;0, MAX(COUNTIF(_row9, two), COUNTIF(_col3, two), COUNTIF(_sq31, two)) = 1), "", two)</f>
        <v>2</v>
      </c>
      <c r="S25" s="8">
        <f>IF(OR(F12 &gt;0, MAX(COUNTIF(_row9, two), COUNTIF(_col4, two), COUNTIF(_sq32, two)) = 1), "", two)</f>
        <v>2</v>
      </c>
      <c r="T25" s="9">
        <f>IF(OR(G12 &gt;0, MAX(COUNTIF(_row9, two), COUNTIF(_col5, two), COUNTIF(_sq32, two)) = 1), "", two)</f>
        <v>2</v>
      </c>
      <c r="U25" s="10">
        <f>IF(OR(H12 &gt;0, MAX(COUNTIF(_row9, two), COUNTIF(_col6, two), COUNTIF(_sq32, two)) = 1), "", two)</f>
        <v>2</v>
      </c>
      <c r="V25" s="8">
        <f>IF(OR(I12 &gt;0, MAX(COUNTIF(_row9, two), COUNTIF(_col7, two), COUNTIF(_sq33, two)) = 1), "", two)</f>
        <v>2</v>
      </c>
      <c r="W25" s="9">
        <f>IF(OR(J12 &gt;0, MAX(COUNTIF(_row9, two), COUNTIF(_col8, two), COUNTIF(_sq33, two)) = 1), "", two)</f>
        <v>2</v>
      </c>
      <c r="X25" s="10">
        <f>IF(OR(K12 &gt;0, MAX(COUNTIF(_row9, two), COUNTIF(_col9, two), COUNTIF(_sq33, two)) = 1), "", two)</f>
        <v>2</v>
      </c>
      <c r="Y25" s="6">
        <f t="shared" si="20"/>
        <v>9</v>
      </c>
      <c r="Z25" s="44"/>
      <c r="AA25" s="44">
        <v>9</v>
      </c>
      <c r="AB25" s="8">
        <f>IF(OR(C12 &gt;0, MAX(COUNTIF(_row9, three), COUNTIF(_col1, three), COUNTIF(_sq31, three)) = 1), "", three)</f>
        <v>3</v>
      </c>
      <c r="AC25" s="9">
        <f>IF(OR(D12 &gt;0, MAX(COUNTIF(_row9, three), COUNTIF(_col2, three), COUNTIF(_sq31, three)) = 1), "", three)</f>
        <v>3</v>
      </c>
      <c r="AD25" s="10">
        <f>IF(OR(E12 &gt;0, MAX(COUNTIF(_row9, three), COUNTIF(_col3, three), COUNTIF(_sq31, three)) = 1), "", three)</f>
        <v>3</v>
      </c>
      <c r="AE25" s="8">
        <f>IF(OR(F12 &gt;0, MAX(COUNTIF(_row9, three), COUNTIF(_col4, three), COUNTIF(_sq32, three)) = 1), "", three)</f>
        <v>3</v>
      </c>
      <c r="AF25" s="9">
        <f>IF(OR(G12 &gt;0, MAX(COUNTIF(_row9, three), COUNTIF(_col5, three), COUNTIF(_sq32, three)) = 1), "", three)</f>
        <v>3</v>
      </c>
      <c r="AG25" s="10">
        <f>IF(OR(H12 &gt;0, MAX(COUNTIF(_row9, three), COUNTIF(_col6, three), COUNTIF(_sq32, three)) = 1), "", three)</f>
        <v>3</v>
      </c>
      <c r="AH25" s="8">
        <f>IF(OR(I12 &gt;0, MAX(COUNTIF(_row9, three), COUNTIF(_col7, three), COUNTIF(_sq33, three)) = 1), "", three)</f>
        <v>3</v>
      </c>
      <c r="AI25" s="9">
        <f>IF(OR(J12 &gt;0, MAX(COUNTIF(_row9, three), COUNTIF(_col8, three), COUNTIF(_sq33, three)) = 1), "", three)</f>
        <v>3</v>
      </c>
      <c r="AJ25" s="10">
        <f>IF(OR(K12 &gt;0, MAX(COUNTIF(_row9, three), COUNTIF(_col9, three), COUNTIF(_sq33, three)) = 1), "", three)</f>
        <v>3</v>
      </c>
      <c r="AK25" s="6">
        <f t="shared" si="21"/>
        <v>9</v>
      </c>
      <c r="AL25" s="45"/>
      <c r="AM25" s="26"/>
      <c r="AN25" s="161"/>
      <c r="AO25" s="35"/>
      <c r="AP25" s="36"/>
      <c r="AQ25" s="37"/>
      <c r="AR25" s="35"/>
      <c r="AS25" s="36">
        <v>8</v>
      </c>
      <c r="AT25" s="37"/>
      <c r="AU25" s="35"/>
      <c r="AV25" s="36">
        <v>7</v>
      </c>
      <c r="AW25" s="37">
        <v>9</v>
      </c>
      <c r="AX25" s="166"/>
      <c r="AY25" s="26"/>
    </row>
    <row r="26" spans="1:63" x14ac:dyDescent="0.2">
      <c r="A26" s="26"/>
      <c r="B26" s="46"/>
      <c r="C26" s="44"/>
      <c r="D26" s="6">
        <f t="shared" ref="D26:L26" si="22">SUM(D17:D25)/one</f>
        <v>9</v>
      </c>
      <c r="E26" s="6">
        <f t="shared" si="22"/>
        <v>9</v>
      </c>
      <c r="F26" s="6">
        <f t="shared" si="22"/>
        <v>9</v>
      </c>
      <c r="G26" s="6">
        <f t="shared" si="22"/>
        <v>9</v>
      </c>
      <c r="H26" s="6">
        <f t="shared" si="22"/>
        <v>9</v>
      </c>
      <c r="I26" s="6">
        <f t="shared" si="22"/>
        <v>9</v>
      </c>
      <c r="J26" s="6">
        <f t="shared" si="22"/>
        <v>9</v>
      </c>
      <c r="K26" s="6">
        <f t="shared" si="22"/>
        <v>9</v>
      </c>
      <c r="L26" s="6">
        <f t="shared" si="22"/>
        <v>9</v>
      </c>
      <c r="M26" s="44"/>
      <c r="N26" s="44"/>
      <c r="O26" s="44"/>
      <c r="P26" s="6">
        <f t="shared" ref="P26:X26" si="23">SUM(P17:P25)/two</f>
        <v>9</v>
      </c>
      <c r="Q26" s="6">
        <f t="shared" si="23"/>
        <v>9</v>
      </c>
      <c r="R26" s="6">
        <f t="shared" si="23"/>
        <v>9</v>
      </c>
      <c r="S26" s="6">
        <f t="shared" si="23"/>
        <v>9</v>
      </c>
      <c r="T26" s="6">
        <f t="shared" si="23"/>
        <v>9</v>
      </c>
      <c r="U26" s="6">
        <f t="shared" si="23"/>
        <v>9</v>
      </c>
      <c r="V26" s="6">
        <f t="shared" si="23"/>
        <v>9</v>
      </c>
      <c r="W26" s="6">
        <f t="shared" si="23"/>
        <v>9</v>
      </c>
      <c r="X26" s="6">
        <f t="shared" si="23"/>
        <v>9</v>
      </c>
      <c r="Y26" s="44"/>
      <c r="Z26" s="44"/>
      <c r="AA26" s="44"/>
      <c r="AB26" s="6">
        <f t="shared" ref="AB26:AJ26" si="24">SUM(AB17:AB25)/three</f>
        <v>9</v>
      </c>
      <c r="AC26" s="6">
        <f t="shared" si="24"/>
        <v>9</v>
      </c>
      <c r="AD26" s="6">
        <f t="shared" si="24"/>
        <v>9</v>
      </c>
      <c r="AE26" s="6">
        <f t="shared" si="24"/>
        <v>9</v>
      </c>
      <c r="AF26" s="6">
        <f t="shared" si="24"/>
        <v>9</v>
      </c>
      <c r="AG26" s="6">
        <f t="shared" si="24"/>
        <v>9</v>
      </c>
      <c r="AH26" s="6">
        <f t="shared" si="24"/>
        <v>9</v>
      </c>
      <c r="AI26" s="6">
        <f t="shared" si="24"/>
        <v>9</v>
      </c>
      <c r="AJ26" s="6">
        <f t="shared" si="24"/>
        <v>9</v>
      </c>
      <c r="AK26" s="44"/>
      <c r="AL26" s="45"/>
      <c r="AM26" s="26"/>
      <c r="AN26" s="161"/>
      <c r="AO26" s="165"/>
      <c r="AP26" s="165"/>
      <c r="AQ26" s="165"/>
      <c r="AR26" s="165"/>
      <c r="AS26" s="165"/>
      <c r="AT26" s="165"/>
      <c r="AU26" s="165"/>
      <c r="AV26" s="165"/>
      <c r="AW26" s="165"/>
      <c r="AX26" s="166"/>
      <c r="AY26" s="26"/>
    </row>
    <row r="27" spans="1:63" x14ac:dyDescent="0.2">
      <c r="A27" s="26"/>
      <c r="B27" s="46"/>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5"/>
      <c r="AM27" s="26"/>
      <c r="AN27" s="161"/>
      <c r="AO27" s="165"/>
      <c r="AP27" s="165"/>
      <c r="AQ27" s="165"/>
      <c r="AR27" s="165"/>
      <c r="AS27" s="165"/>
      <c r="AT27" s="165"/>
      <c r="AU27" s="165"/>
      <c r="AV27" s="165"/>
      <c r="AW27" s="165"/>
      <c r="AX27" s="166"/>
      <c r="AY27" s="26"/>
    </row>
    <row r="28" spans="1:63" ht="13.5" thickBot="1" x14ac:dyDescent="0.25">
      <c r="A28" s="26"/>
      <c r="B28" s="46"/>
      <c r="C28" s="25">
        <v>4</v>
      </c>
      <c r="D28" s="44">
        <v>1</v>
      </c>
      <c r="E28" s="44">
        <v>2</v>
      </c>
      <c r="F28" s="44">
        <v>3</v>
      </c>
      <c r="G28" s="44">
        <v>4</v>
      </c>
      <c r="H28" s="44">
        <v>5</v>
      </c>
      <c r="I28" s="44">
        <v>6</v>
      </c>
      <c r="J28" s="44">
        <v>7</v>
      </c>
      <c r="K28" s="44">
        <v>8</v>
      </c>
      <c r="L28" s="44">
        <v>9</v>
      </c>
      <c r="M28" s="44"/>
      <c r="N28" s="44"/>
      <c r="O28" s="25">
        <v>5</v>
      </c>
      <c r="P28" s="44">
        <v>1</v>
      </c>
      <c r="Q28" s="44">
        <v>2</v>
      </c>
      <c r="R28" s="44">
        <v>3</v>
      </c>
      <c r="S28" s="44">
        <v>4</v>
      </c>
      <c r="T28" s="44">
        <v>5</v>
      </c>
      <c r="U28" s="44">
        <v>6</v>
      </c>
      <c r="V28" s="44">
        <v>7</v>
      </c>
      <c r="W28" s="44">
        <v>8</v>
      </c>
      <c r="X28" s="44">
        <v>9</v>
      </c>
      <c r="Y28" s="44"/>
      <c r="Z28" s="44"/>
      <c r="AA28" s="25">
        <v>6</v>
      </c>
      <c r="AB28" s="6">
        <v>1</v>
      </c>
      <c r="AC28" s="6">
        <v>2</v>
      </c>
      <c r="AD28" s="6">
        <v>3</v>
      </c>
      <c r="AE28" s="6">
        <v>4</v>
      </c>
      <c r="AF28" s="6">
        <v>5</v>
      </c>
      <c r="AG28" s="6">
        <v>6</v>
      </c>
      <c r="AH28" s="6">
        <v>7</v>
      </c>
      <c r="AI28" s="6">
        <v>8</v>
      </c>
      <c r="AJ28" s="6">
        <v>9</v>
      </c>
      <c r="AK28" s="44"/>
      <c r="AL28" s="45"/>
      <c r="AM28" s="26"/>
      <c r="AN28" s="161"/>
      <c r="AO28" s="165"/>
      <c r="AP28" s="165"/>
      <c r="AQ28" s="165"/>
      <c r="AR28" s="165"/>
      <c r="AS28" s="165"/>
      <c r="AT28" s="165"/>
      <c r="AU28" s="165"/>
      <c r="AV28" s="165"/>
      <c r="AW28" s="165"/>
      <c r="AX28" s="166"/>
      <c r="AY28" s="26"/>
    </row>
    <row r="29" spans="1:63" x14ac:dyDescent="0.2">
      <c r="A29" s="26"/>
      <c r="B29" s="46"/>
      <c r="C29" s="44">
        <v>1</v>
      </c>
      <c r="D29" s="2">
        <f>IF(OR(C4 &gt;0, MAX(COUNTIF(_row1, four), COUNTIF(_col1, four), COUNTIF(_sq11, four)) = 1), "", four)</f>
        <v>4</v>
      </c>
      <c r="E29" s="3">
        <f>IF(OR(D4 &gt;0, MAX(COUNTIF(_row1, four), COUNTIF(_col2, four), COUNTIF(_sq11, four)) = 1), "", four)</f>
        <v>4</v>
      </c>
      <c r="F29" s="4">
        <f>IF(OR(E4 &gt;0, MAX(COUNTIF(_row1, four), COUNTIF(_col3, four), COUNTIF(_sq11, four)) = 1), "", four)</f>
        <v>4</v>
      </c>
      <c r="G29" s="2">
        <f>IF(OR(F4 &gt;0, MAX(COUNTIF(_row1, four), COUNTIF(_col4, four), COUNTIF(_sq12, four)) = 1), "", four)</f>
        <v>4</v>
      </c>
      <c r="H29" s="3">
        <f>IF(OR(G4 &gt;0, MAX(COUNTIF(_row1, four), COUNTIF(_col5, four), COUNTIF(_sq12, four)) = 1), "", four)</f>
        <v>4</v>
      </c>
      <c r="I29" s="4">
        <f>IF(OR(H4 &gt;0, MAX(COUNTIF(_row1, four), COUNTIF(_col6, four), COUNTIF(_sq12, four)) = 1), "", four)</f>
        <v>4</v>
      </c>
      <c r="J29" s="2">
        <f>IF(OR(I4 &gt;0, MAX(COUNTIF(_row1, four), COUNTIF(_col7, four), COUNTIF(_sq13, four)) = 1), "", four)</f>
        <v>4</v>
      </c>
      <c r="K29" s="3">
        <f>IF(OR(J4 &gt;0, MAX(COUNTIF(_row1, four), COUNTIF(_col8, four), COUNTIF(_sq13, four)) = 1), "", four)</f>
        <v>4</v>
      </c>
      <c r="L29" s="4">
        <f>IF(OR(K4 &gt;0, MAX(COUNTIF(_row1, four), COUNTIF(_col9, four), COUNTIF(_sq13, four)) = 1), "", four)</f>
        <v>4</v>
      </c>
      <c r="M29" s="6">
        <f t="shared" ref="M29:M37" si="25">SUM(D29:L29)/four</f>
        <v>9</v>
      </c>
      <c r="N29" s="44"/>
      <c r="O29" s="44">
        <v>1</v>
      </c>
      <c r="P29" s="2">
        <f>IF(OR(C4 &gt;0, MAX(COUNTIF(_row1, five), COUNTIF(_col1, five), COUNTIF(_sq11, five)) = 1), "", five)</f>
        <v>5</v>
      </c>
      <c r="Q29" s="3">
        <f>IF(OR(D4 &gt;0, MAX(COUNTIF(_row1, five), COUNTIF(_col2, five), COUNTIF(_sq11, five)) = 1), "", five)</f>
        <v>5</v>
      </c>
      <c r="R29" s="4">
        <f>IF(OR(E4 &gt;0, MAX(COUNTIF(_row1, five), COUNTIF(_col3, five), COUNTIF(_sq11, five)) = 1), "", five)</f>
        <v>5</v>
      </c>
      <c r="S29" s="2">
        <f>IF(OR(F4 &gt;0, MAX(COUNTIF(_row1, five), COUNTIF(_col4, five), COUNTIF(_sq12, five)) = 1), "", five)</f>
        <v>5</v>
      </c>
      <c r="T29" s="3">
        <f>IF(OR(G4 &gt;0, MAX(COUNTIF(_row1, five), COUNTIF(_col5, five), COUNTIF(_sq12, five)) = 1), "", five)</f>
        <v>5</v>
      </c>
      <c r="U29" s="4">
        <f>IF(OR(H4 &gt;0, MAX(COUNTIF(_row1, five), COUNTIF(_col6, five), COUNTIF(_sq12, five)) = 1), "", five)</f>
        <v>5</v>
      </c>
      <c r="V29" s="2">
        <f>IF(OR(I4 &gt;0, MAX(COUNTIF(_row1, five), COUNTIF(_col7, five), COUNTIF(_sq13, five)) = 1), "", five)</f>
        <v>5</v>
      </c>
      <c r="W29" s="3">
        <f>IF(OR(J4 &gt;0, MAX(COUNTIF(_row1, five), COUNTIF(_col8, five), COUNTIF(_sq13, five)) = 1), "", five)</f>
        <v>5</v>
      </c>
      <c r="X29" s="4">
        <f>IF(OR(K4 &gt;0, MAX(COUNTIF(_row1, five), COUNTIF(_col9, five), COUNTIF(_sq13, five)) = 1), "", five)</f>
        <v>5</v>
      </c>
      <c r="Y29" s="6">
        <f t="shared" ref="Y29:Y37" si="26">SUM(P29:X29)/five</f>
        <v>9</v>
      </c>
      <c r="Z29" s="44"/>
      <c r="AA29" s="44">
        <v>1</v>
      </c>
      <c r="AB29" s="2">
        <f>IF(OR(C4 &gt;0, MAX(COUNTIF(_row1, six), COUNTIF(_col1, six), COUNTIF(_sq11, six)) = 1), "", six)</f>
        <v>6</v>
      </c>
      <c r="AC29" s="3">
        <f>IF(OR(D4 &gt;0, MAX(COUNTIF(_row1, six), COUNTIF(_col2, six), COUNTIF(_sq11, six)) = 1), "", six)</f>
        <v>6</v>
      </c>
      <c r="AD29" s="4">
        <f>IF(OR(E4 &gt;0, MAX(COUNTIF(_row1, six), COUNTIF(_col3, six), COUNTIF(_sq11, six)) = 1), "", six)</f>
        <v>6</v>
      </c>
      <c r="AE29" s="2">
        <f>IF(OR(F4 &gt;0, MAX(COUNTIF(_row1, six), COUNTIF(_col4, six), COUNTIF(_sq12, six)) = 1), "", six)</f>
        <v>6</v>
      </c>
      <c r="AF29" s="3">
        <f>IF(OR(G4 &gt;0, MAX(COUNTIF(_row1, six), COUNTIF(_col5, six), COUNTIF(_sq12, six)) = 1), "", six)</f>
        <v>6</v>
      </c>
      <c r="AG29" s="4">
        <f>IF(OR(H4 &gt;0, MAX(COUNTIF(_row1, six), COUNTIF(_col6, six), COUNTIF(_sq12, six)) = 1), "", six)</f>
        <v>6</v>
      </c>
      <c r="AH29" s="2">
        <f>IF(OR(I4 &gt;0, MAX(COUNTIF(_row1, six), COUNTIF(_col7, six), COUNTIF(_sq13, six)) = 1), "", six)</f>
        <v>6</v>
      </c>
      <c r="AI29" s="3">
        <f>IF(OR(J4 &gt;0, MAX(COUNTIF(_row1, six), COUNTIF(_col8, six), COUNTIF(_sq13, six)) = 1), "", six)</f>
        <v>6</v>
      </c>
      <c r="AJ29" s="4">
        <f>IF(OR(K4 &gt;0, MAX(COUNTIF(_row1, six), COUNTIF(_col9, six), COUNTIF(_sq13, six)) = 1), "", six)</f>
        <v>6</v>
      </c>
      <c r="AK29" s="6">
        <f t="shared" ref="AK29:AK37" si="27">SUM(AB29:AJ29)/six</f>
        <v>9</v>
      </c>
      <c r="AL29" s="45"/>
      <c r="AM29" s="26"/>
      <c r="AN29" s="161"/>
      <c r="AO29" s="29"/>
      <c r="AP29" s="30"/>
      <c r="AQ29" s="31"/>
      <c r="AR29" s="29"/>
      <c r="AS29" s="30"/>
      <c r="AT29" s="31"/>
      <c r="AU29" s="29"/>
      <c r="AV29" s="30"/>
      <c r="AW29" s="31"/>
      <c r="AX29" s="166"/>
      <c r="AY29" s="26"/>
    </row>
    <row r="30" spans="1:63" x14ac:dyDescent="0.2">
      <c r="A30" s="26"/>
      <c r="B30" s="46"/>
      <c r="C30" s="44">
        <v>2</v>
      </c>
      <c r="D30" s="5">
        <f>IF(OR(C5 &gt;0, MAX(COUNTIF(_row2, four), COUNTIF(_col1, four), COUNTIF(_sq11, four)) = 1), "", four)</f>
        <v>4</v>
      </c>
      <c r="E30" s="6">
        <f>IF(OR(D5 &gt;0, MAX(COUNTIF(_row2, four), COUNTIF(_col2, four), COUNTIF(_sq11, four)) = 1), "", four)</f>
        <v>4</v>
      </c>
      <c r="F30" s="7">
        <f>IF(OR(E5 &gt;0, MAX(COUNTIF(_row2, four), COUNTIF(_col3, four), COUNTIF(_sq11, four)) = 1), "", four)</f>
        <v>4</v>
      </c>
      <c r="G30" s="5">
        <f>IF(OR(F5 &gt;0, MAX(COUNTIF(_row2, four), COUNTIF(_col4, four), COUNTIF(_sq12, four)) = 1), "", four)</f>
        <v>4</v>
      </c>
      <c r="H30" s="6">
        <f>IF(OR(G5 &gt;0, MAX(COUNTIF(_row2, four), COUNTIF(_col5, four), COUNTIF(_sq12, four)) = 1), "", four)</f>
        <v>4</v>
      </c>
      <c r="I30" s="7">
        <f>IF(OR(H5 &gt;0, MAX(COUNTIF(_row2, four), COUNTIF(_col6, four), COUNTIF(_sq12, four)) = 1), "", four)</f>
        <v>4</v>
      </c>
      <c r="J30" s="5">
        <f>IF(OR(I5 &gt;0, MAX(COUNTIF(_row2, four), COUNTIF(_col7, four), COUNTIF(_sq13, four)) = 1), "", four)</f>
        <v>4</v>
      </c>
      <c r="K30" s="6">
        <f>IF(OR(J5 &gt;0, MAX(COUNTIF(_row2, four), COUNTIF(_col8, four), COUNTIF(_sq13, four)) = 1), "", four)</f>
        <v>4</v>
      </c>
      <c r="L30" s="7">
        <f>IF(OR(K5 &gt;0, MAX(COUNTIF(_row2, four), COUNTIF(_col9, four), COUNTIF(_sq13, four)) = 1), "", four)</f>
        <v>4</v>
      </c>
      <c r="M30" s="6">
        <f t="shared" si="25"/>
        <v>9</v>
      </c>
      <c r="N30" s="44"/>
      <c r="O30" s="44">
        <v>2</v>
      </c>
      <c r="P30" s="5">
        <f>IF(OR(C5 &gt;0, MAX(COUNTIF(_row2, five), COUNTIF(_col1, five), COUNTIF(_sq11, five)) = 1), "", five)</f>
        <v>5</v>
      </c>
      <c r="Q30" s="6">
        <f>IF(OR(D5 &gt;0, MAX(COUNTIF(_row2, five), COUNTIF(_col2, five), COUNTIF(_sq11, five)) = 1), "", five)</f>
        <v>5</v>
      </c>
      <c r="R30" s="7">
        <f>IF(OR(E5 &gt;0, MAX(COUNTIF(_row2, five), COUNTIF(_col3, five), COUNTIF(_sq11, five)) = 1), "", five)</f>
        <v>5</v>
      </c>
      <c r="S30" s="5">
        <f>IF(OR(F5 &gt;0, MAX(COUNTIF(_row2, five), COUNTIF(_col4, five), COUNTIF(_sq12, five)) = 1), "", five)</f>
        <v>5</v>
      </c>
      <c r="T30" s="6">
        <f>IF(OR(G5 &gt;0, MAX(COUNTIF(_row2, five), COUNTIF(_col5, five), COUNTIF(_sq12, five)) = 1), "", five)</f>
        <v>5</v>
      </c>
      <c r="U30" s="7">
        <f>IF(OR(H5 &gt;0, MAX(COUNTIF(_row2, five), COUNTIF(_col6, five), COUNTIF(_sq12, five)) = 1), "", five)</f>
        <v>5</v>
      </c>
      <c r="V30" s="5">
        <f>IF(OR(I5 &gt;0, MAX(COUNTIF(_row2, five), COUNTIF(_col7, five), COUNTIF(_sq13, five)) = 1), "", five)</f>
        <v>5</v>
      </c>
      <c r="W30" s="6">
        <f>IF(OR(J5 &gt;0, MAX(COUNTIF(_row2, five), COUNTIF(_col8, five), COUNTIF(_sq13, five)) = 1), "", five)</f>
        <v>5</v>
      </c>
      <c r="X30" s="7">
        <f>IF(OR(K5 &gt;0, MAX(COUNTIF(_row2, five), COUNTIF(_col9, five), COUNTIF(_sq13, five)) = 1), "", five)</f>
        <v>5</v>
      </c>
      <c r="Y30" s="6">
        <f t="shared" si="26"/>
        <v>9</v>
      </c>
      <c r="Z30" s="44"/>
      <c r="AA30" s="44">
        <v>2</v>
      </c>
      <c r="AB30" s="5">
        <f>IF(OR(C5 &gt;0, MAX(COUNTIF(_row2, six), COUNTIF(_col1, six), COUNTIF(_sq11, six)) = 1), "", six)</f>
        <v>6</v>
      </c>
      <c r="AC30" s="6">
        <f>IF(OR(D5 &gt;0, MAX(COUNTIF(_row2, six), COUNTIF(_col2, six), COUNTIF(_sq11, six)) = 1), "", six)</f>
        <v>6</v>
      </c>
      <c r="AD30" s="7">
        <f>IF(OR(E5 &gt;0, MAX(COUNTIF(_row2, six), COUNTIF(_col3, six), COUNTIF(_sq11, six)) = 1), "", six)</f>
        <v>6</v>
      </c>
      <c r="AE30" s="5">
        <f>IF(OR(F5 &gt;0, MAX(COUNTIF(_row2, six), COUNTIF(_col4, six), COUNTIF(_sq12, six)) = 1), "", six)</f>
        <v>6</v>
      </c>
      <c r="AF30" s="6">
        <f>IF(OR(G5 &gt;0, MAX(COUNTIF(_row2, six), COUNTIF(_col5, six), COUNTIF(_sq12, six)) = 1), "", six)</f>
        <v>6</v>
      </c>
      <c r="AG30" s="7">
        <f>IF(OR(H5 &gt;0, MAX(COUNTIF(_row2, six), COUNTIF(_col6, six), COUNTIF(_sq12, six)) = 1), "", six)</f>
        <v>6</v>
      </c>
      <c r="AH30" s="5">
        <f>IF(OR(I5 &gt;0, MAX(COUNTIF(_row2, six), COUNTIF(_col7, six), COUNTIF(_sq13, six)) = 1), "", six)</f>
        <v>6</v>
      </c>
      <c r="AI30" s="6">
        <f>IF(OR(J5 &gt;0, MAX(COUNTIF(_row2, six), COUNTIF(_col8, six), COUNTIF(_sq13, six)) = 1), "", six)</f>
        <v>6</v>
      </c>
      <c r="AJ30" s="7">
        <f>IF(OR(K5 &gt;0, MAX(COUNTIF(_row2, six), COUNTIF(_col9, six), COUNTIF(_sq13, six)) = 1), "", six)</f>
        <v>6</v>
      </c>
      <c r="AK30" s="6">
        <f t="shared" si="27"/>
        <v>9</v>
      </c>
      <c r="AL30" s="45"/>
      <c r="AM30" s="26"/>
      <c r="AN30" s="161"/>
      <c r="AO30" s="32"/>
      <c r="AP30" s="33"/>
      <c r="AQ30" s="34"/>
      <c r="AR30" s="32"/>
      <c r="AS30" s="33"/>
      <c r="AT30" s="34"/>
      <c r="AU30" s="32"/>
      <c r="AV30" s="33"/>
      <c r="AW30" s="34"/>
      <c r="AX30" s="166"/>
      <c r="AY30" s="26"/>
    </row>
    <row r="31" spans="1:63" ht="13.5" thickBot="1" x14ac:dyDescent="0.25">
      <c r="A31" s="26"/>
      <c r="B31" s="46"/>
      <c r="C31" s="44">
        <v>3</v>
      </c>
      <c r="D31" s="8">
        <f>IF(OR(C6 &gt;0, MAX(COUNTIF(_row3, four), COUNTIF(_col1, four), COUNTIF(_sq11, four)) = 1), "", four)</f>
        <v>4</v>
      </c>
      <c r="E31" s="9">
        <f>IF(OR(D6 &gt;0, MAX(COUNTIF(_row3, four), COUNTIF(_col2, four), COUNTIF(_sq11, four)) = 1), "", four)</f>
        <v>4</v>
      </c>
      <c r="F31" s="10">
        <f>IF(OR(E6 &gt;0, MAX(COUNTIF(_row3, four), COUNTIF(_col3, four), COUNTIF(_sq11, four)) = 1), "", four)</f>
        <v>4</v>
      </c>
      <c r="G31" s="8">
        <f>IF(OR(F6 &gt;0, MAX(COUNTIF(_row3, four), COUNTIF(_col4, four), COUNTIF(_sq12, four)) = 1), "", four)</f>
        <v>4</v>
      </c>
      <c r="H31" s="9">
        <f>IF(OR(G6 &gt;0, MAX(COUNTIF(_row3, four), COUNTIF(_col5, four), COUNTIF(_sq12, four)) = 1), "", four)</f>
        <v>4</v>
      </c>
      <c r="I31" s="10">
        <f>IF(OR(H6 &gt;0, MAX(COUNTIF(_row3, four), COUNTIF(_col6, four), COUNTIF(_sq12, four)) = 1), "", four)</f>
        <v>4</v>
      </c>
      <c r="J31" s="8">
        <f>IF(OR(I6 &gt;0, MAX(COUNTIF(_row3, four), COUNTIF(_col7, four), COUNTIF(_sq13, four)) = 1), "", four)</f>
        <v>4</v>
      </c>
      <c r="K31" s="9">
        <f>IF(OR(J6 &gt;0, MAX(COUNTIF(_row3, four), COUNTIF(_col8, four), COUNTIF(_sq13, four)) = 1), "", four)</f>
        <v>4</v>
      </c>
      <c r="L31" s="10">
        <f>IF(OR(K6 &gt;0, MAX(COUNTIF(_row3, four), COUNTIF(_col9, four), COUNTIF(_sq13, four)) = 1), "", four)</f>
        <v>4</v>
      </c>
      <c r="M31" s="6">
        <f t="shared" si="25"/>
        <v>9</v>
      </c>
      <c r="N31" s="44"/>
      <c r="O31" s="44">
        <v>3</v>
      </c>
      <c r="P31" s="8">
        <f>IF(OR(C6 &gt;0, MAX(COUNTIF(_row3, five), COUNTIF(_col1, five), COUNTIF(_sq11, five)) = 1), "", five)</f>
        <v>5</v>
      </c>
      <c r="Q31" s="9">
        <f>IF(OR(D6 &gt;0, MAX(COUNTIF(_row3, five), COUNTIF(_col2, five), COUNTIF(_sq11, five)) = 1), "", five)</f>
        <v>5</v>
      </c>
      <c r="R31" s="10">
        <f>IF(OR(E6 &gt;0, MAX(COUNTIF(_row3, five), COUNTIF(_col3, five), COUNTIF(_sq11, five)) = 1), "", five)</f>
        <v>5</v>
      </c>
      <c r="S31" s="8">
        <f>IF(OR(F6 &gt;0, MAX(COUNTIF(_row3, five), COUNTIF(_col4, five), COUNTIF(_sq12, five)) = 1), "", five)</f>
        <v>5</v>
      </c>
      <c r="T31" s="9">
        <f>IF(OR(G6 &gt;0, MAX(COUNTIF(_row3, five), COUNTIF(_col5, five), COUNTIF(_sq12, five)) = 1), "", five)</f>
        <v>5</v>
      </c>
      <c r="U31" s="10">
        <f>IF(OR(H6 &gt;0, MAX(COUNTIF(_row3, five), COUNTIF(_col6, five), COUNTIF(_sq12, five)) = 1), "", five)</f>
        <v>5</v>
      </c>
      <c r="V31" s="8">
        <f>IF(OR(I6 &gt;0, MAX(COUNTIF(_row3, five), COUNTIF(_col7, five), COUNTIF(_sq13, five)) = 1), "", five)</f>
        <v>5</v>
      </c>
      <c r="W31" s="9">
        <f>IF(OR(J6 &gt;0, MAX(COUNTIF(_row3, five), COUNTIF(_col8, five), COUNTIF(_sq13, five)) = 1), "", five)</f>
        <v>5</v>
      </c>
      <c r="X31" s="10">
        <f>IF(OR(K6 &gt;0, MAX(COUNTIF(_row3, five), COUNTIF(_col9, five), COUNTIF(_sq13, five)) = 1), "", five)</f>
        <v>5</v>
      </c>
      <c r="Y31" s="6">
        <f t="shared" si="26"/>
        <v>9</v>
      </c>
      <c r="Z31" s="44"/>
      <c r="AA31" s="44">
        <v>3</v>
      </c>
      <c r="AB31" s="8">
        <f>IF(OR(C6 &gt;0, MAX(COUNTIF(_row3, six), COUNTIF(_col1, six), COUNTIF(_sq11, six)) = 1), "", six)</f>
        <v>6</v>
      </c>
      <c r="AC31" s="9">
        <f>IF(OR(D6 &gt;0, MAX(COUNTIF(_row3, six), COUNTIF(_col2, six), COUNTIF(_sq11, six)) = 1), "", six)</f>
        <v>6</v>
      </c>
      <c r="AD31" s="10">
        <f>IF(OR(E6 &gt;0, MAX(COUNTIF(_row3, six), COUNTIF(_col3, six), COUNTIF(_sq11, six)) = 1), "", six)</f>
        <v>6</v>
      </c>
      <c r="AE31" s="8">
        <f>IF(OR(F6 &gt;0, MAX(COUNTIF(_row3, six), COUNTIF(_col4, six), COUNTIF(_sq12, six)) = 1), "", six)</f>
        <v>6</v>
      </c>
      <c r="AF31" s="9">
        <f>IF(OR(G6 &gt;0, MAX(COUNTIF(_row3, six), COUNTIF(_col5, six), COUNTIF(_sq12, six)) = 1), "", six)</f>
        <v>6</v>
      </c>
      <c r="AG31" s="10">
        <f>IF(OR(H6 &gt;0, MAX(COUNTIF(_row3, six), COUNTIF(_col6, six), COUNTIF(_sq12, six)) = 1), "", six)</f>
        <v>6</v>
      </c>
      <c r="AH31" s="8">
        <f>IF(OR(I6 &gt;0, MAX(COUNTIF(_row3, six), COUNTIF(_col7, six), COUNTIF(_sq13, six)) = 1), "", six)</f>
        <v>6</v>
      </c>
      <c r="AI31" s="9">
        <f>IF(OR(J6 &gt;0, MAX(COUNTIF(_row3, six), COUNTIF(_col8, six), COUNTIF(_sq13, six)) = 1), "", six)</f>
        <v>6</v>
      </c>
      <c r="AJ31" s="10">
        <f>IF(OR(K6 &gt;0, MAX(COUNTIF(_row3, six), COUNTIF(_col9, six), COUNTIF(_sq13, six)) = 1), "", six)</f>
        <v>6</v>
      </c>
      <c r="AK31" s="6">
        <f t="shared" si="27"/>
        <v>9</v>
      </c>
      <c r="AL31" s="45"/>
      <c r="AM31" s="26"/>
      <c r="AN31" s="161"/>
      <c r="AO31" s="35"/>
      <c r="AP31" s="36"/>
      <c r="AQ31" s="37"/>
      <c r="AR31" s="35"/>
      <c r="AS31" s="36"/>
      <c r="AT31" s="37"/>
      <c r="AU31" s="35"/>
      <c r="AV31" s="36"/>
      <c r="AW31" s="37"/>
      <c r="AX31" s="166"/>
      <c r="AY31" s="26"/>
    </row>
    <row r="32" spans="1:63" x14ac:dyDescent="0.2">
      <c r="A32" s="26"/>
      <c r="B32" s="46"/>
      <c r="C32" s="44">
        <v>4</v>
      </c>
      <c r="D32" s="2">
        <f>IF(OR(C7 &gt;0, MAX(COUNTIF(_row4, four), COUNTIF(_col1, four), COUNTIF(_sq21, four)) = 1), "", four)</f>
        <v>4</v>
      </c>
      <c r="E32" s="3">
        <f>IF(OR(D7 &gt;0, MAX(COUNTIF(_row4, four), COUNTIF(_col2, four), COUNTIF(_sq21, four)) = 1), "", four)</f>
        <v>4</v>
      </c>
      <c r="F32" s="4">
        <f>IF(OR(E7 &gt;0, MAX(COUNTIF(_row4, four), COUNTIF(_col3, four), COUNTIF(_sq21, four)) = 1), "", four)</f>
        <v>4</v>
      </c>
      <c r="G32" s="2">
        <f>IF(OR(F7 &gt;0, MAX(COUNTIF(_row4, four), COUNTIF(_col4, four), COUNTIF(_sq22, four)) = 1), "", four)</f>
        <v>4</v>
      </c>
      <c r="H32" s="3">
        <f>IF(OR(G7 &gt;0, MAX(COUNTIF(_row4, four), COUNTIF(_col5, four), COUNTIF(_sq22, four)) = 1), "", four)</f>
        <v>4</v>
      </c>
      <c r="I32" s="4">
        <f>IF(OR(H7 &gt;0, MAX(COUNTIF(_row4, four), COUNTIF(_col6, four), COUNTIF(_sq22, four)) = 1), "", four)</f>
        <v>4</v>
      </c>
      <c r="J32" s="2">
        <f>IF(OR(I7 &gt;0, MAX(COUNTIF(_row4, four), COUNTIF(_col7, four), COUNTIF(_sq23, four)) = 1), "", four)</f>
        <v>4</v>
      </c>
      <c r="K32" s="3">
        <f>IF(OR(J7 &gt;0, MAX(COUNTIF(_row4, four), COUNTIF(_col8, four), COUNTIF(_sq23, four)) = 1), "", four)</f>
        <v>4</v>
      </c>
      <c r="L32" s="4">
        <f>IF(OR(K7 &gt;0, MAX(COUNTIF(_row4, four), COUNTIF(_col9, four), COUNTIF(_sq23, four)) = 1), "", four)</f>
        <v>4</v>
      </c>
      <c r="M32" s="6">
        <f t="shared" si="25"/>
        <v>9</v>
      </c>
      <c r="N32" s="44"/>
      <c r="O32" s="44">
        <v>4</v>
      </c>
      <c r="P32" s="2">
        <f>IF(OR(C7 &gt;0, MAX(COUNTIF(_row4, five), COUNTIF(_col1, five), COUNTIF(_sq21, five)) = 1), "", five)</f>
        <v>5</v>
      </c>
      <c r="Q32" s="3">
        <f>IF(OR(D7 &gt;0, MAX(COUNTIF(_row4, five), COUNTIF(_col2, five), COUNTIF(_sq21, five)) = 1), "", five)</f>
        <v>5</v>
      </c>
      <c r="R32" s="4">
        <f>IF(OR(E7 &gt;0, MAX(COUNTIF(_row4, five), COUNTIF(_col3, five), COUNTIF(_sq21, five)) = 1), "", five)</f>
        <v>5</v>
      </c>
      <c r="S32" s="2">
        <f>IF(OR(F7 &gt;0, MAX(COUNTIF(_row4, five), COUNTIF(_col4, five), COUNTIF(_sq22, five)) = 1), "", five)</f>
        <v>5</v>
      </c>
      <c r="T32" s="3">
        <f>IF(OR(G7 &gt;0, MAX(COUNTIF(_row4, five), COUNTIF(_col5, five), COUNTIF(_sq22, five)) = 1), "", five)</f>
        <v>5</v>
      </c>
      <c r="U32" s="4">
        <f>IF(OR(H7 &gt;0, MAX(COUNTIF(_row4, five), COUNTIF(_col6, five), COUNTIF(_sq22, five)) = 1), "", five)</f>
        <v>5</v>
      </c>
      <c r="V32" s="2">
        <f>IF(OR(I7 &gt;0, MAX(COUNTIF(_row4, five), COUNTIF(_col7, five), COUNTIF(_sq23, five)) = 1), "", five)</f>
        <v>5</v>
      </c>
      <c r="W32" s="3">
        <f>IF(OR(J7 &gt;0, MAX(COUNTIF(_row4, five), COUNTIF(_col8, five), COUNTIF(_sq23, five)) = 1), "", five)</f>
        <v>5</v>
      </c>
      <c r="X32" s="4">
        <f>IF(OR(K7 &gt;0, MAX(COUNTIF(_row4, five), COUNTIF(_col9, five), COUNTIF(_sq23, five)) = 1), "", five)</f>
        <v>5</v>
      </c>
      <c r="Y32" s="6">
        <f t="shared" si="26"/>
        <v>9</v>
      </c>
      <c r="Z32" s="44"/>
      <c r="AA32" s="44">
        <v>4</v>
      </c>
      <c r="AB32" s="2">
        <f>IF(OR(C7 &gt;0, MAX(COUNTIF(_row4, six), COUNTIF(_col1, six), COUNTIF(_sq21, six)) = 1), "", six)</f>
        <v>6</v>
      </c>
      <c r="AC32" s="3">
        <f>IF(OR(D7 &gt;0, MAX(COUNTIF(_row4, six), COUNTIF(_col2, six), COUNTIF(_sq21, six)) = 1), "", six)</f>
        <v>6</v>
      </c>
      <c r="AD32" s="4">
        <f>IF(OR(E7 &gt;0, MAX(COUNTIF(_row4, six), COUNTIF(_col3, six), COUNTIF(_sq21, six)) = 1), "", six)</f>
        <v>6</v>
      </c>
      <c r="AE32" s="2">
        <f>IF(OR(F7 &gt;0, MAX(COUNTIF(_row4, six), COUNTIF(_col4, six), COUNTIF(_sq22, six)) = 1), "", six)</f>
        <v>6</v>
      </c>
      <c r="AF32" s="3">
        <f>IF(OR(G7 &gt;0, MAX(COUNTIF(_row4, six), COUNTIF(_col5, six), COUNTIF(_sq22, six)) = 1), "", six)</f>
        <v>6</v>
      </c>
      <c r="AG32" s="4">
        <f>IF(OR(H7 &gt;0, MAX(COUNTIF(_row4, six), COUNTIF(_col6, six), COUNTIF(_sq22, six)) = 1), "", six)</f>
        <v>6</v>
      </c>
      <c r="AH32" s="2">
        <f>IF(OR(I7 &gt;0, MAX(COUNTIF(_row4, six), COUNTIF(_col7, six), COUNTIF(_sq23, six)) = 1), "", six)</f>
        <v>6</v>
      </c>
      <c r="AI32" s="3">
        <f>IF(OR(J7 &gt;0, MAX(COUNTIF(_row4, six), COUNTIF(_col8, six), COUNTIF(_sq23, six)) = 1), "", six)</f>
        <v>6</v>
      </c>
      <c r="AJ32" s="4">
        <f>IF(OR(K7 &gt;0, MAX(COUNTIF(_row4, six), COUNTIF(_col9, six), COUNTIF(_sq23, six)) = 1), "", six)</f>
        <v>6</v>
      </c>
      <c r="AK32" s="6">
        <f t="shared" si="27"/>
        <v>9</v>
      </c>
      <c r="AL32" s="45"/>
      <c r="AM32" s="26"/>
      <c r="AN32" s="161"/>
      <c r="AO32" s="29"/>
      <c r="AP32" s="30"/>
      <c r="AQ32" s="31"/>
      <c r="AR32" s="29"/>
      <c r="AS32" s="30"/>
      <c r="AT32" s="31"/>
      <c r="AU32" s="29"/>
      <c r="AV32" s="30"/>
      <c r="AW32" s="31"/>
      <c r="AX32" s="166"/>
      <c r="AY32" s="26"/>
    </row>
    <row r="33" spans="1:51" x14ac:dyDescent="0.2">
      <c r="A33" s="26"/>
      <c r="B33" s="46"/>
      <c r="C33" s="44">
        <v>5</v>
      </c>
      <c r="D33" s="5">
        <f>IF(OR(C8 &gt;0, MAX(COUNTIF(_row5, four), COUNTIF(_col1, four), COUNTIF(_sq21, four)) = 1), "", four)</f>
        <v>4</v>
      </c>
      <c r="E33" s="6">
        <f>IF(OR(D8 &gt;0, MAX(COUNTIF(_row5, four), COUNTIF(_col2, four), COUNTIF(_sq21, four)) = 1), "", four)</f>
        <v>4</v>
      </c>
      <c r="F33" s="7">
        <f>IF(OR(E8 &gt;0, MAX(COUNTIF(_row5, four), COUNTIF(_col3, four), COUNTIF(_sq21, four)) = 1), "", four)</f>
        <v>4</v>
      </c>
      <c r="G33" s="5">
        <f>IF(OR(F8 &gt;0, MAX(COUNTIF(_row5, four), COUNTIF(_col4, four), COUNTIF(_sq22, four)) = 1), "", four)</f>
        <v>4</v>
      </c>
      <c r="H33" s="6">
        <f>IF(OR(G8 &gt;0, MAX(COUNTIF(_row5, four), COUNTIF(_col5, four), COUNTIF(_sq22, four)) = 1), "", four)</f>
        <v>4</v>
      </c>
      <c r="I33" s="7">
        <f>IF(OR(H8 &gt;0, MAX(COUNTIF(_row5, four), COUNTIF(_col6, four), COUNTIF(_sq22, four)) = 1), "", four)</f>
        <v>4</v>
      </c>
      <c r="J33" s="5">
        <f>IF(OR(I8 &gt;0, MAX(COUNTIF(_row5, four), COUNTIF(_col7, four), COUNTIF(_sq23, four)) = 1), "", four)</f>
        <v>4</v>
      </c>
      <c r="K33" s="6">
        <f>IF(OR(J8 &gt;0, MAX(COUNTIF(_row5, four), COUNTIF(_col8, four), COUNTIF(_sq23, four)) = 1), "", four)</f>
        <v>4</v>
      </c>
      <c r="L33" s="7">
        <f>IF(OR(K8 &gt;0, MAX(COUNTIF(_row5, four), COUNTIF(_col9, four), COUNTIF(_sq23, four)) = 1), "", four)</f>
        <v>4</v>
      </c>
      <c r="M33" s="6">
        <f t="shared" si="25"/>
        <v>9</v>
      </c>
      <c r="N33" s="44"/>
      <c r="O33" s="44">
        <v>5</v>
      </c>
      <c r="P33" s="5">
        <f>IF(OR(C8 &gt;0, MAX(COUNTIF(_row5, five), COUNTIF(_col1, five), COUNTIF(_sq21, five)) = 1), "", five)</f>
        <v>5</v>
      </c>
      <c r="Q33" s="6">
        <f>IF(OR(D8 &gt;0, MAX(COUNTIF(_row5, five), COUNTIF(_col2, five), COUNTIF(_sq21, five)) = 1), "", five)</f>
        <v>5</v>
      </c>
      <c r="R33" s="7">
        <f>IF(OR(E8 &gt;0, MAX(COUNTIF(_row5, five), COUNTIF(_col3, five), COUNTIF(_sq21, five)) = 1), "", five)</f>
        <v>5</v>
      </c>
      <c r="S33" s="5">
        <f>IF(OR(F8 &gt;0, MAX(COUNTIF(_row5, five), COUNTIF(_col4, five), COUNTIF(_sq22, five)) = 1), "", five)</f>
        <v>5</v>
      </c>
      <c r="T33" s="6">
        <f>IF(OR(G8 &gt;0, MAX(COUNTIF(_row5, five), COUNTIF(_col5, five), COUNTIF(_sq22, five)) = 1), "", five)</f>
        <v>5</v>
      </c>
      <c r="U33" s="7">
        <f>IF(OR(H8 &gt;0, MAX(COUNTIF(_row5, five), COUNTIF(_col6, five), COUNTIF(_sq22, five)) = 1), "", five)</f>
        <v>5</v>
      </c>
      <c r="V33" s="5">
        <f>IF(OR(I8 &gt;0, MAX(COUNTIF(_row5, five), COUNTIF(_col7, five), COUNTIF(_sq23, five)) = 1), "", five)</f>
        <v>5</v>
      </c>
      <c r="W33" s="6">
        <f>IF(OR(J8 &gt;0, MAX(COUNTIF(_row5, five), COUNTIF(_col8, five), COUNTIF(_sq23, five)) = 1), "", five)</f>
        <v>5</v>
      </c>
      <c r="X33" s="7">
        <f>IF(OR(K8 &gt;0, MAX(COUNTIF(_row5, five), COUNTIF(_col9, five), COUNTIF(_sq23, five)) = 1), "", five)</f>
        <v>5</v>
      </c>
      <c r="Y33" s="6">
        <f t="shared" si="26"/>
        <v>9</v>
      </c>
      <c r="Z33" s="44"/>
      <c r="AA33" s="44">
        <v>5</v>
      </c>
      <c r="AB33" s="5">
        <f>IF(OR(C8 &gt;0, MAX(COUNTIF(_row5, six), COUNTIF(_col1, six), COUNTIF(_sq21, six)) = 1), "", six)</f>
        <v>6</v>
      </c>
      <c r="AC33" s="6">
        <f>IF(OR(D8 &gt;0, MAX(COUNTIF(_row5, six), COUNTIF(_col2, six), COUNTIF(_sq21, six)) = 1), "", six)</f>
        <v>6</v>
      </c>
      <c r="AD33" s="7">
        <f>IF(OR(E8 &gt;0, MAX(COUNTIF(_row5, six), COUNTIF(_col3, six), COUNTIF(_sq21, six)) = 1), "", six)</f>
        <v>6</v>
      </c>
      <c r="AE33" s="5">
        <f>IF(OR(F8 &gt;0, MAX(COUNTIF(_row5, six), COUNTIF(_col4, six), COUNTIF(_sq22, six)) = 1), "", six)</f>
        <v>6</v>
      </c>
      <c r="AF33" s="6">
        <f>IF(OR(G8 &gt;0, MAX(COUNTIF(_row5, six), COUNTIF(_col5, six), COUNTIF(_sq22, six)) = 1), "", six)</f>
        <v>6</v>
      </c>
      <c r="AG33" s="7">
        <f>IF(OR(H8 &gt;0, MAX(COUNTIF(_row5, six), COUNTIF(_col6, six), COUNTIF(_sq22, six)) = 1), "", six)</f>
        <v>6</v>
      </c>
      <c r="AH33" s="5">
        <f>IF(OR(I8 &gt;0, MAX(COUNTIF(_row5, six), COUNTIF(_col7, six), COUNTIF(_sq23, six)) = 1), "", six)</f>
        <v>6</v>
      </c>
      <c r="AI33" s="6">
        <f>IF(OR(J8 &gt;0, MAX(COUNTIF(_row5, six), COUNTIF(_col8, six), COUNTIF(_sq23, six)) = 1), "", six)</f>
        <v>6</v>
      </c>
      <c r="AJ33" s="7">
        <f>IF(OR(K8 &gt;0, MAX(COUNTIF(_row5, six), COUNTIF(_col9, six), COUNTIF(_sq23, six)) = 1), "", six)</f>
        <v>6</v>
      </c>
      <c r="AK33" s="6">
        <f t="shared" si="27"/>
        <v>9</v>
      </c>
      <c r="AL33" s="45"/>
      <c r="AM33" s="26"/>
      <c r="AN33" s="161"/>
      <c r="AO33" s="32"/>
      <c r="AP33" s="33"/>
      <c r="AQ33" s="34"/>
      <c r="AR33" s="32"/>
      <c r="AS33" s="33"/>
      <c r="AT33" s="34"/>
      <c r="AU33" s="32"/>
      <c r="AV33" s="33"/>
      <c r="AW33" s="34"/>
      <c r="AX33" s="166"/>
      <c r="AY33" s="26"/>
    </row>
    <row r="34" spans="1:51" ht="13.5" thickBot="1" x14ac:dyDescent="0.25">
      <c r="A34" s="26"/>
      <c r="B34" s="46"/>
      <c r="C34" s="44">
        <v>6</v>
      </c>
      <c r="D34" s="8">
        <f>IF(OR(C9 &gt;0, MAX(COUNTIF(_row6, four), COUNTIF(_col1, four), COUNTIF(_sq21, four)) = 1), "", four)</f>
        <v>4</v>
      </c>
      <c r="E34" s="9">
        <f>IF(OR(D9 &gt;0, MAX(COUNTIF(_row6, four), COUNTIF(_col2, four), COUNTIF(_sq21, four)) = 1), "", four)</f>
        <v>4</v>
      </c>
      <c r="F34" s="10">
        <f>IF(OR(E9 &gt;0, MAX(COUNTIF(_row6, four), COUNTIF(_col3, four), COUNTIF(_sq21, four)) = 1), "", four)</f>
        <v>4</v>
      </c>
      <c r="G34" s="8">
        <f>IF(OR(F9 &gt;0, MAX(COUNTIF(_row6, four), COUNTIF(_col4, four), COUNTIF(_sq22, four)) = 1), "", four)</f>
        <v>4</v>
      </c>
      <c r="H34" s="9">
        <f>IF(OR(G9 &gt;0, MAX(COUNTIF(_row6, four), COUNTIF(_col5, four), COUNTIF(_sq22, four)) = 1), "", four)</f>
        <v>4</v>
      </c>
      <c r="I34" s="10">
        <f>IF(OR(H9 &gt;0, MAX(COUNTIF(_row6, four), COUNTIF(_col6, four), COUNTIF(_sq22, four)) = 1), "", four)</f>
        <v>4</v>
      </c>
      <c r="J34" s="8">
        <f>IF(OR(I9 &gt;0, MAX(COUNTIF(_row6, four), COUNTIF(_col7, four), COUNTIF(_sq23, four)) = 1), "", four)</f>
        <v>4</v>
      </c>
      <c r="K34" s="9">
        <f>IF(OR(J9 &gt;0, MAX(COUNTIF(_row6, four), COUNTIF(_col8, four), COUNTIF(_sq23, four)) = 1), "", four)</f>
        <v>4</v>
      </c>
      <c r="L34" s="10">
        <f>IF(OR(K9 &gt;0, MAX(COUNTIF(_row6, four), COUNTIF(_col9, four), COUNTIF(_sq23, four)) = 1), "", four)</f>
        <v>4</v>
      </c>
      <c r="M34" s="6">
        <f t="shared" si="25"/>
        <v>9</v>
      </c>
      <c r="N34" s="44"/>
      <c r="O34" s="44">
        <v>6</v>
      </c>
      <c r="P34" s="8">
        <f>IF(OR(C9 &gt;0, MAX(COUNTIF(_row6, five), COUNTIF(_col1, five), COUNTIF(_sq21, five)) = 1), "", five)</f>
        <v>5</v>
      </c>
      <c r="Q34" s="9">
        <f>IF(OR(D9 &gt;0, MAX(COUNTIF(_row6, five), COUNTIF(_col2, five), COUNTIF(_sq21, five)) = 1), "", five)</f>
        <v>5</v>
      </c>
      <c r="R34" s="10">
        <f>IF(OR(E9 &gt;0, MAX(COUNTIF(_row6, five), COUNTIF(_col3, five), COUNTIF(_sq21, five)) = 1), "", five)</f>
        <v>5</v>
      </c>
      <c r="S34" s="8">
        <f>IF(OR(F9 &gt;0, MAX(COUNTIF(_row6, five), COUNTIF(_col4, five), COUNTIF(_sq22, five)) = 1), "", five)</f>
        <v>5</v>
      </c>
      <c r="T34" s="9">
        <f>IF(OR(G9 &gt;0, MAX(COUNTIF(_row6, five), COUNTIF(_col5, five), COUNTIF(_sq22, five)) = 1), "", five)</f>
        <v>5</v>
      </c>
      <c r="U34" s="10">
        <f>IF(OR(H9 &gt;0, MAX(COUNTIF(_row6, five), COUNTIF(_col6, five), COUNTIF(_sq22, five)) = 1), "", five)</f>
        <v>5</v>
      </c>
      <c r="V34" s="8">
        <f>IF(OR(I9 &gt;0, MAX(COUNTIF(_row6, five), COUNTIF(_col7, five), COUNTIF(_sq23, five)) = 1), "", five)</f>
        <v>5</v>
      </c>
      <c r="W34" s="9">
        <f>IF(OR(J9 &gt;0, MAX(COUNTIF(_row6, five), COUNTIF(_col8, five), COUNTIF(_sq23, five)) = 1), "", five)</f>
        <v>5</v>
      </c>
      <c r="X34" s="10">
        <f>IF(OR(K9 &gt;0, MAX(COUNTIF(_row6, five), COUNTIF(_col9, five), COUNTIF(_sq23, five)) = 1), "", five)</f>
        <v>5</v>
      </c>
      <c r="Y34" s="6">
        <f t="shared" si="26"/>
        <v>9</v>
      </c>
      <c r="Z34" s="44"/>
      <c r="AA34" s="44">
        <v>6</v>
      </c>
      <c r="AB34" s="8">
        <f>IF(OR(C9 &gt;0, MAX(COUNTIF(_row6, six), COUNTIF(_col1, six), COUNTIF(_sq21, six)) = 1), "", six)</f>
        <v>6</v>
      </c>
      <c r="AC34" s="9">
        <f>IF(OR(D9 &gt;0, MAX(COUNTIF(_row6, six), COUNTIF(_col2, six), COUNTIF(_sq21, six)) = 1), "", six)</f>
        <v>6</v>
      </c>
      <c r="AD34" s="10">
        <f>IF(OR(E9 &gt;0, MAX(COUNTIF(_row6, six), COUNTIF(_col3, six), COUNTIF(_sq21, six)) = 1), "", six)</f>
        <v>6</v>
      </c>
      <c r="AE34" s="8">
        <f>IF(OR(F9 &gt;0, MAX(COUNTIF(_row6, six), COUNTIF(_col4, six), COUNTIF(_sq22, six)) = 1), "", six)</f>
        <v>6</v>
      </c>
      <c r="AF34" s="9">
        <f>IF(OR(G9 &gt;0, MAX(COUNTIF(_row6, six), COUNTIF(_col5, six), COUNTIF(_sq22, six)) = 1), "", six)</f>
        <v>6</v>
      </c>
      <c r="AG34" s="10">
        <f>IF(OR(H9 &gt;0, MAX(COUNTIF(_row6, six), COUNTIF(_col6, six), COUNTIF(_sq22, six)) = 1), "", six)</f>
        <v>6</v>
      </c>
      <c r="AH34" s="8">
        <f>IF(OR(I9 &gt;0, MAX(COUNTIF(_row6, six), COUNTIF(_col7, six), COUNTIF(_sq23, six)) = 1), "", six)</f>
        <v>6</v>
      </c>
      <c r="AI34" s="9">
        <f>IF(OR(J9 &gt;0, MAX(COUNTIF(_row6, six), COUNTIF(_col8, six), COUNTIF(_sq23, six)) = 1), "", six)</f>
        <v>6</v>
      </c>
      <c r="AJ34" s="10">
        <f>IF(OR(K9 &gt;0, MAX(COUNTIF(_row6, six), COUNTIF(_col9, six), COUNTIF(_sq23, six)) = 1), "", six)</f>
        <v>6</v>
      </c>
      <c r="AK34" s="6">
        <f t="shared" si="27"/>
        <v>9</v>
      </c>
      <c r="AL34" s="45"/>
      <c r="AM34" s="26"/>
      <c r="AN34" s="161"/>
      <c r="AO34" s="35"/>
      <c r="AP34" s="36"/>
      <c r="AQ34" s="37"/>
      <c r="AR34" s="35"/>
      <c r="AS34" s="36"/>
      <c r="AT34" s="37"/>
      <c r="AU34" s="35"/>
      <c r="AV34" s="36"/>
      <c r="AW34" s="37"/>
      <c r="AX34" s="166"/>
      <c r="AY34" s="26"/>
    </row>
    <row r="35" spans="1:51" x14ac:dyDescent="0.2">
      <c r="A35" s="26"/>
      <c r="B35" s="46"/>
      <c r="C35" s="44">
        <v>7</v>
      </c>
      <c r="D35" s="2">
        <f>IF(OR(C10 &gt;0, MAX(COUNTIF(_row7, four), COUNTIF(_col1, four), COUNTIF(_sq31, four)) = 1), "", four)</f>
        <v>4</v>
      </c>
      <c r="E35" s="3">
        <f>IF(OR(D10 &gt;0, MAX(COUNTIF(_row7, four), COUNTIF(_col2, four), COUNTIF(_sq31, four)) = 1), "", four)</f>
        <v>4</v>
      </c>
      <c r="F35" s="4">
        <f>IF(OR(E10 &gt;0, MAX(COUNTIF(_row7, four), COUNTIF(_col3, four), COUNTIF(_sq31, four)) = 1), "", four)</f>
        <v>4</v>
      </c>
      <c r="G35" s="2">
        <f>IF(OR(F10 &gt;0, MAX(COUNTIF(_row7, four), COUNTIF(_col4, four), COUNTIF(_sq32, four)) = 1), "", four)</f>
        <v>4</v>
      </c>
      <c r="H35" s="3">
        <f>IF(OR(G10 &gt;0, MAX(COUNTIF(_row7, four), COUNTIF(_col5, four), COUNTIF(_sq32, four)) = 1), "", four)</f>
        <v>4</v>
      </c>
      <c r="I35" s="4">
        <f>IF(OR(H10 &gt;0, MAX(COUNTIF(_row7, four), COUNTIF(_col6, four), COUNTIF(_sq32, four)) = 1), "", four)</f>
        <v>4</v>
      </c>
      <c r="J35" s="2">
        <f>IF(OR(I10 &gt;0, MAX(COUNTIF(_row7, four), COUNTIF(_col7, four), COUNTIF(_sq33, four)) = 1), "", four)</f>
        <v>4</v>
      </c>
      <c r="K35" s="3">
        <f>IF(OR(J10 &gt;0, MAX(COUNTIF(_row7, four), COUNTIF(_col8, four), COUNTIF(_sq33, four)) = 1), "", four)</f>
        <v>4</v>
      </c>
      <c r="L35" s="4">
        <f>IF(OR(K10 &gt;0, MAX(COUNTIF(_row7, four), COUNTIF(_col9, four), COUNTIF(_sq33, four)) = 1), "", four)</f>
        <v>4</v>
      </c>
      <c r="M35" s="6">
        <f t="shared" si="25"/>
        <v>9</v>
      </c>
      <c r="N35" s="44"/>
      <c r="O35" s="44">
        <v>7</v>
      </c>
      <c r="P35" s="2">
        <f>IF(OR(C10 &gt;0, MAX(COUNTIF(_row7, five), COUNTIF(_col1, five), COUNTIF(_sq31, five)) = 1), "", five)</f>
        <v>5</v>
      </c>
      <c r="Q35" s="3">
        <f>IF(OR(D10 &gt;0, MAX(COUNTIF(_row7, five), COUNTIF(_col2, five), COUNTIF(_sq31, five)) = 1), "", five)</f>
        <v>5</v>
      </c>
      <c r="R35" s="4">
        <f>IF(OR(E10 &gt;0, MAX(COUNTIF(_row7, five), COUNTIF(_col3, five), COUNTIF(_sq31, five)) = 1), "", five)</f>
        <v>5</v>
      </c>
      <c r="S35" s="2">
        <f>IF(OR(F10 &gt;0, MAX(COUNTIF(_row7, five), COUNTIF(_col4, five), COUNTIF(_sq32, five)) = 1), "", five)</f>
        <v>5</v>
      </c>
      <c r="T35" s="3">
        <f>IF(OR(G10 &gt;0, MAX(COUNTIF(_row7, five), COUNTIF(_col5, five), COUNTIF(_sq32, five)) = 1), "", five)</f>
        <v>5</v>
      </c>
      <c r="U35" s="4">
        <f>IF(OR(H10 &gt;0, MAX(COUNTIF(_row7, five), COUNTIF(_col6, five), COUNTIF(_sq32, five)) = 1), "", five)</f>
        <v>5</v>
      </c>
      <c r="V35" s="2">
        <f>IF(OR(I10 &gt;0, MAX(COUNTIF(_row7, five), COUNTIF(_col7, five), COUNTIF(_sq33, five)) = 1), "", five)</f>
        <v>5</v>
      </c>
      <c r="W35" s="3">
        <f>IF(OR(J10 &gt;0, MAX(COUNTIF(_row7, five), COUNTIF(_col8, five), COUNTIF(_sq33, five)) = 1), "", five)</f>
        <v>5</v>
      </c>
      <c r="X35" s="4">
        <f>IF(OR(K10 &gt;0, MAX(COUNTIF(_row7, five), COUNTIF(_col9, five), COUNTIF(_sq33, five)) = 1), "", five)</f>
        <v>5</v>
      </c>
      <c r="Y35" s="6">
        <f t="shared" si="26"/>
        <v>9</v>
      </c>
      <c r="Z35" s="44"/>
      <c r="AA35" s="44">
        <v>7</v>
      </c>
      <c r="AB35" s="2">
        <f>IF(OR(C10 &gt;0, MAX(COUNTIF(_row7, six), COUNTIF(_col1, six), COUNTIF(_sq31, six)) = 1), "", six)</f>
        <v>6</v>
      </c>
      <c r="AC35" s="3">
        <f>IF(OR(D10 &gt;0, MAX(COUNTIF(_row7, six), COUNTIF(_col2, six), COUNTIF(_sq31, six)) = 1), "", six)</f>
        <v>6</v>
      </c>
      <c r="AD35" s="4">
        <f>IF(OR(E10 &gt;0, MAX(COUNTIF(_row7, six), COUNTIF(_col3, six), COUNTIF(_sq31, six)) = 1), "", six)</f>
        <v>6</v>
      </c>
      <c r="AE35" s="2">
        <f>IF(OR(F10 &gt;0, MAX(COUNTIF(_row7, six), COUNTIF(_col4, six), COUNTIF(_sq32, six)) = 1), "", six)</f>
        <v>6</v>
      </c>
      <c r="AF35" s="3">
        <f>IF(OR(G10 &gt;0, MAX(COUNTIF(_row7, six), COUNTIF(_col5, six), COUNTIF(_sq32, six)) = 1), "", six)</f>
        <v>6</v>
      </c>
      <c r="AG35" s="4">
        <f>IF(OR(H10 &gt;0, MAX(COUNTIF(_row7, six), COUNTIF(_col6, six), COUNTIF(_sq32, six)) = 1), "", six)</f>
        <v>6</v>
      </c>
      <c r="AH35" s="2">
        <f>IF(OR(I10 &gt;0, MAX(COUNTIF(_row7, six), COUNTIF(_col7, six), COUNTIF(_sq33, six)) = 1), "", six)</f>
        <v>6</v>
      </c>
      <c r="AI35" s="3">
        <f>IF(OR(J10 &gt;0, MAX(COUNTIF(_row7, six), COUNTIF(_col8, six), COUNTIF(_sq33, six)) = 1), "", six)</f>
        <v>6</v>
      </c>
      <c r="AJ35" s="4">
        <f>IF(OR(K10 &gt;0, MAX(COUNTIF(_row7, six), COUNTIF(_col9, six), COUNTIF(_sq33, six)) = 1), "", six)</f>
        <v>6</v>
      </c>
      <c r="AK35" s="6">
        <f t="shared" si="27"/>
        <v>9</v>
      </c>
      <c r="AL35" s="45"/>
      <c r="AM35" s="26"/>
      <c r="AN35" s="161"/>
      <c r="AO35" s="29"/>
      <c r="AP35" s="30"/>
      <c r="AQ35" s="31"/>
      <c r="AR35" s="29"/>
      <c r="AS35" s="30"/>
      <c r="AT35" s="31"/>
      <c r="AU35" s="29"/>
      <c r="AV35" s="30"/>
      <c r="AW35" s="31"/>
      <c r="AX35" s="166"/>
      <c r="AY35" s="26"/>
    </row>
    <row r="36" spans="1:51" x14ac:dyDescent="0.2">
      <c r="A36" s="26"/>
      <c r="B36" s="46"/>
      <c r="C36" s="44">
        <v>8</v>
      </c>
      <c r="D36" s="5">
        <f>IF(OR(C11 &gt;0, MAX(COUNTIF(_row8, four), COUNTIF(_col1, four), COUNTIF(_sq31, four)) = 1), "", four)</f>
        <v>4</v>
      </c>
      <c r="E36" s="6">
        <f>IF(OR(D11 &gt;0, MAX(COUNTIF(_row8, four), COUNTIF(_col2, four), COUNTIF(_sq31, four)) = 1), "", four)</f>
        <v>4</v>
      </c>
      <c r="F36" s="7">
        <f>IF(OR(E11 &gt;0, MAX(COUNTIF(_row8, four), COUNTIF(_col3, four), COUNTIF(_sq31, four)) = 1), "", four)</f>
        <v>4</v>
      </c>
      <c r="G36" s="5">
        <f>IF(OR(F11 &gt;0, MAX(COUNTIF(_row8, four), COUNTIF(_col4, four), COUNTIF(_sq32, four)) = 1), "", four)</f>
        <v>4</v>
      </c>
      <c r="H36" s="6">
        <f>IF(OR(G11 &gt;0, MAX(COUNTIF(_row8, four), COUNTIF(_col5, four), COUNTIF(_sq32, four)) = 1), "", four)</f>
        <v>4</v>
      </c>
      <c r="I36" s="7">
        <f>IF(OR(H11 &gt;0, MAX(COUNTIF(_row8, four), COUNTIF(_col6, four), COUNTIF(_sq32, four)) = 1), "", four)</f>
        <v>4</v>
      </c>
      <c r="J36" s="5">
        <f>IF(OR(I11 &gt;0, MAX(COUNTIF(_row8, four), COUNTIF(_col7, four), COUNTIF(_sq33, four)) = 1), "", four)</f>
        <v>4</v>
      </c>
      <c r="K36" s="6">
        <f>IF(OR(J11 &gt;0, MAX(COUNTIF(_row8, four), COUNTIF(_col8, four), COUNTIF(_sq33, four)) = 1), "", four)</f>
        <v>4</v>
      </c>
      <c r="L36" s="7">
        <f>IF(OR(K11 &gt;0, MAX(COUNTIF(_row8, four), COUNTIF(_col9, four), COUNTIF(_sq33, four)) = 1), "", four)</f>
        <v>4</v>
      </c>
      <c r="M36" s="6">
        <f t="shared" si="25"/>
        <v>9</v>
      </c>
      <c r="N36" s="44"/>
      <c r="O36" s="44">
        <v>8</v>
      </c>
      <c r="P36" s="5">
        <f>IF(OR(C11 &gt;0, MAX(COUNTIF(_row8, five), COUNTIF(_col1, five), COUNTIF(_sq31, five)) = 1), "", five)</f>
        <v>5</v>
      </c>
      <c r="Q36" s="6">
        <f>IF(OR(D11 &gt;0, MAX(COUNTIF(_row8, five), COUNTIF(_col2, five), COUNTIF(_sq31, five)) = 1), "", five)</f>
        <v>5</v>
      </c>
      <c r="R36" s="7">
        <f>IF(OR(E11 &gt;0, MAX(COUNTIF(_row8, five), COUNTIF(_col3, five), COUNTIF(_sq31, five)) = 1), "", five)</f>
        <v>5</v>
      </c>
      <c r="S36" s="5">
        <f>IF(OR(F11 &gt;0, MAX(COUNTIF(_row8, five), COUNTIF(_col4, five), COUNTIF(_sq32, five)) = 1), "", five)</f>
        <v>5</v>
      </c>
      <c r="T36" s="6">
        <f>IF(OR(G11 &gt;0, MAX(COUNTIF(_row8, five), COUNTIF(_col5, five), COUNTIF(_sq32, five)) = 1), "", five)</f>
        <v>5</v>
      </c>
      <c r="U36" s="7">
        <f>IF(OR(H11 &gt;0, MAX(COUNTIF(_row8, five), COUNTIF(_col6, five), COUNTIF(_sq32, five)) = 1), "", five)</f>
        <v>5</v>
      </c>
      <c r="V36" s="5">
        <f>IF(OR(I11 &gt;0, MAX(COUNTIF(_row8, five), COUNTIF(_col7, five), COUNTIF(_sq33, five)) = 1), "", five)</f>
        <v>5</v>
      </c>
      <c r="W36" s="6">
        <f>IF(OR(J11 &gt;0, MAX(COUNTIF(_row8, five), COUNTIF(_col8, five), COUNTIF(_sq33, five)) = 1), "", five)</f>
        <v>5</v>
      </c>
      <c r="X36" s="7">
        <f>IF(OR(K11 &gt;0, MAX(COUNTIF(_row8, five), COUNTIF(_col9, five), COUNTIF(_sq33, five)) = 1), "", five)</f>
        <v>5</v>
      </c>
      <c r="Y36" s="6">
        <f t="shared" si="26"/>
        <v>9</v>
      </c>
      <c r="Z36" s="44"/>
      <c r="AA36" s="44">
        <v>8</v>
      </c>
      <c r="AB36" s="5">
        <f>IF(OR(C11 &gt;0, MAX(COUNTIF(_row8, six), COUNTIF(_col1, six), COUNTIF(_sq31, six)) = 1), "", six)</f>
        <v>6</v>
      </c>
      <c r="AC36" s="6">
        <f>IF(OR(D11 &gt;0, MAX(COUNTIF(_row8, six), COUNTIF(_col2, six), COUNTIF(_sq31, six)) = 1), "", six)</f>
        <v>6</v>
      </c>
      <c r="AD36" s="7">
        <f>IF(OR(E11 &gt;0, MAX(COUNTIF(_row8, six), COUNTIF(_col3, six), COUNTIF(_sq31, six)) = 1), "", six)</f>
        <v>6</v>
      </c>
      <c r="AE36" s="5">
        <f>IF(OR(F11 &gt;0, MAX(COUNTIF(_row8, six), COUNTIF(_col4, six), COUNTIF(_sq32, six)) = 1), "", six)</f>
        <v>6</v>
      </c>
      <c r="AF36" s="6">
        <f>IF(OR(G11 &gt;0, MAX(COUNTIF(_row8, six), COUNTIF(_col5, six), COUNTIF(_sq32, six)) = 1), "", six)</f>
        <v>6</v>
      </c>
      <c r="AG36" s="7">
        <f>IF(OR(H11 &gt;0, MAX(COUNTIF(_row8, six), COUNTIF(_col6, six), COUNTIF(_sq32, six)) = 1), "", six)</f>
        <v>6</v>
      </c>
      <c r="AH36" s="5">
        <f>IF(OR(I11 &gt;0, MAX(COUNTIF(_row8, six), COUNTIF(_col7, six), COUNTIF(_sq33, six)) = 1), "", six)</f>
        <v>6</v>
      </c>
      <c r="AI36" s="6">
        <f>IF(OR(J11 &gt;0, MAX(COUNTIF(_row8, six), COUNTIF(_col8, six), COUNTIF(_sq33, six)) = 1), "", six)</f>
        <v>6</v>
      </c>
      <c r="AJ36" s="7">
        <f>IF(OR(K11 &gt;0, MAX(COUNTIF(_row8, six), COUNTIF(_col9, six), COUNTIF(_sq33, six)) = 1), "", six)</f>
        <v>6</v>
      </c>
      <c r="AK36" s="6">
        <f t="shared" si="27"/>
        <v>9</v>
      </c>
      <c r="AL36" s="45"/>
      <c r="AM36" s="26"/>
      <c r="AN36" s="161"/>
      <c r="AO36" s="32"/>
      <c r="AP36" s="33"/>
      <c r="AQ36" s="34"/>
      <c r="AR36" s="32"/>
      <c r="AS36" s="33"/>
      <c r="AT36" s="34"/>
      <c r="AU36" s="32"/>
      <c r="AV36" s="33"/>
      <c r="AW36" s="34"/>
      <c r="AX36" s="166"/>
      <c r="AY36" s="26"/>
    </row>
    <row r="37" spans="1:51" ht="13.5" thickBot="1" x14ac:dyDescent="0.25">
      <c r="A37" s="26"/>
      <c r="B37" s="46"/>
      <c r="C37" s="44">
        <v>9</v>
      </c>
      <c r="D37" s="8">
        <f>IF(OR(C12 &gt;0, MAX(COUNTIF(_row9, four), COUNTIF(_col1, four), COUNTIF(_sq31, four)) = 1), "", four)</f>
        <v>4</v>
      </c>
      <c r="E37" s="9">
        <f>IF(OR(D12 &gt;0, MAX(COUNTIF(_row9, four), COUNTIF(_col2, four), COUNTIF(_sq31, four)) = 1), "", four)</f>
        <v>4</v>
      </c>
      <c r="F37" s="10">
        <f>IF(OR(E12 &gt;0, MAX(COUNTIF(_row9, four), COUNTIF(_col3, four), COUNTIF(_sq31, four)) = 1), "", four)</f>
        <v>4</v>
      </c>
      <c r="G37" s="8">
        <f>IF(OR(F12 &gt;0, MAX(COUNTIF(_row9, four), COUNTIF(_col4, four), COUNTIF(_sq32, four)) = 1), "", four)</f>
        <v>4</v>
      </c>
      <c r="H37" s="9">
        <f>IF(OR(G12 &gt;0, MAX(COUNTIF(_row9, four), COUNTIF(_col5, four), COUNTIF(_sq32, four)) = 1), "", four)</f>
        <v>4</v>
      </c>
      <c r="I37" s="10">
        <f>IF(OR(H12 &gt;0, MAX(COUNTIF(_row9, four), COUNTIF(_col6, four), COUNTIF(_sq32, four)) = 1), "", four)</f>
        <v>4</v>
      </c>
      <c r="J37" s="8">
        <f>IF(OR(I12 &gt;0, MAX(COUNTIF(_row9, four), COUNTIF(_col7, four), COUNTIF(_sq33, four)) = 1), "", four)</f>
        <v>4</v>
      </c>
      <c r="K37" s="9">
        <f>IF(OR(J12 &gt;0, MAX(COUNTIF(_row9, four), COUNTIF(_col8, four), COUNTIF(_sq33, four)) = 1), "", four)</f>
        <v>4</v>
      </c>
      <c r="L37" s="10">
        <f>IF(OR(K12 &gt;0, MAX(COUNTIF(_row9, four), COUNTIF(_col9, four), COUNTIF(_sq33, four)) = 1), "", four)</f>
        <v>4</v>
      </c>
      <c r="M37" s="6">
        <f t="shared" si="25"/>
        <v>9</v>
      </c>
      <c r="N37" s="44"/>
      <c r="O37" s="44">
        <v>9</v>
      </c>
      <c r="P37" s="8">
        <f>IF(OR(C12 &gt;0, MAX(COUNTIF(_row9, five), COUNTIF(_col1, five), COUNTIF(_sq31, five)) = 1), "", five)</f>
        <v>5</v>
      </c>
      <c r="Q37" s="9">
        <f>IF(OR(D12 &gt;0, MAX(COUNTIF(_row9, five), COUNTIF(_col2, five), COUNTIF(_sq31, five)) = 1), "", five)</f>
        <v>5</v>
      </c>
      <c r="R37" s="10">
        <f>IF(OR(E12 &gt;0, MAX(COUNTIF(_row9, five), COUNTIF(_col3, five), COUNTIF(_sq31, five)) = 1), "", five)</f>
        <v>5</v>
      </c>
      <c r="S37" s="8">
        <f>IF(OR(F12 &gt;0, MAX(COUNTIF(_row9, five), COUNTIF(_col4, five), COUNTIF(_sq32, five)) = 1), "", five)</f>
        <v>5</v>
      </c>
      <c r="T37" s="9">
        <f>IF(OR(G12 &gt;0, MAX(COUNTIF(_row9, five), COUNTIF(_col5, five), COUNTIF(_sq32, five)) = 1), "", five)</f>
        <v>5</v>
      </c>
      <c r="U37" s="10">
        <f>IF(OR(H12 &gt;0, MAX(COUNTIF(_row9, five), COUNTIF(_col6, five), COUNTIF(_sq32, five)) = 1), "", five)</f>
        <v>5</v>
      </c>
      <c r="V37" s="8">
        <f>IF(OR(I12 &gt;0, MAX(COUNTIF(_row9, five), COUNTIF(_col7, five), COUNTIF(_sq33, five)) = 1), "", five)</f>
        <v>5</v>
      </c>
      <c r="W37" s="9">
        <f>IF(OR(J12 &gt;0, MAX(COUNTIF(_row9, five), COUNTIF(_col8, five), COUNTIF(_sq33, five)) = 1), "", five)</f>
        <v>5</v>
      </c>
      <c r="X37" s="10">
        <f>IF(OR(K12 &gt;0, MAX(COUNTIF(_row9, five), COUNTIF(_col9, five), COUNTIF(_sq33, five)) = 1), "", five)</f>
        <v>5</v>
      </c>
      <c r="Y37" s="6">
        <f t="shared" si="26"/>
        <v>9</v>
      </c>
      <c r="Z37" s="44"/>
      <c r="AA37" s="44">
        <v>9</v>
      </c>
      <c r="AB37" s="8">
        <f>IF(OR(C12 &gt;0, MAX(COUNTIF(_row9, six), COUNTIF(_col1, six), COUNTIF(_sq31, six)) = 1), "", six)</f>
        <v>6</v>
      </c>
      <c r="AC37" s="9">
        <f>IF(OR(D12 &gt;0, MAX(COUNTIF(_row9, six), COUNTIF(_col2, six), COUNTIF(_sq31, six)) = 1), "", six)</f>
        <v>6</v>
      </c>
      <c r="AD37" s="10">
        <f>IF(OR(E12 &gt;0, MAX(COUNTIF(_row9, six), COUNTIF(_col3, six), COUNTIF(_sq31, six)) = 1), "", six)</f>
        <v>6</v>
      </c>
      <c r="AE37" s="8">
        <f>IF(OR(F12 &gt;0, MAX(COUNTIF(_row9, six), COUNTIF(_col4, six), COUNTIF(_sq32, six)) = 1), "", six)</f>
        <v>6</v>
      </c>
      <c r="AF37" s="9">
        <f>IF(OR(G12 &gt;0, MAX(COUNTIF(_row9, six), COUNTIF(_col5, six), COUNTIF(_sq32, six)) = 1), "", six)</f>
        <v>6</v>
      </c>
      <c r="AG37" s="10">
        <f>IF(OR(H12 &gt;0, MAX(COUNTIF(_row9, six), COUNTIF(_col6, six), COUNTIF(_sq32, six)) = 1), "", six)</f>
        <v>6</v>
      </c>
      <c r="AH37" s="8">
        <f>IF(OR(I12 &gt;0, MAX(COUNTIF(_row9, six), COUNTIF(_col7, six), COUNTIF(_sq33, six)) = 1), "", six)</f>
        <v>6</v>
      </c>
      <c r="AI37" s="9">
        <f>IF(OR(J12 &gt;0, MAX(COUNTIF(_row9, six), COUNTIF(_col8, six), COUNTIF(_sq33, six)) = 1), "", six)</f>
        <v>6</v>
      </c>
      <c r="AJ37" s="10">
        <f>IF(OR(K12 &gt;0, MAX(COUNTIF(_row9, six), COUNTIF(_col9, six), COUNTIF(_sq33, six)) = 1), "", six)</f>
        <v>6</v>
      </c>
      <c r="AK37" s="6">
        <f t="shared" si="27"/>
        <v>9</v>
      </c>
      <c r="AL37" s="45"/>
      <c r="AM37" s="26"/>
      <c r="AN37" s="161"/>
      <c r="AO37" s="35"/>
      <c r="AP37" s="36"/>
      <c r="AQ37" s="37"/>
      <c r="AR37" s="35"/>
      <c r="AS37" s="36"/>
      <c r="AT37" s="37"/>
      <c r="AU37" s="35"/>
      <c r="AV37" s="36"/>
      <c r="AW37" s="37"/>
      <c r="AX37" s="166"/>
      <c r="AY37" s="26"/>
    </row>
    <row r="38" spans="1:51" x14ac:dyDescent="0.2">
      <c r="A38" s="26"/>
      <c r="B38" s="46"/>
      <c r="C38" s="44"/>
      <c r="D38" s="6">
        <f t="shared" ref="D38:L38" si="28">SUM(D29:D37)/four</f>
        <v>9</v>
      </c>
      <c r="E38" s="6">
        <f t="shared" si="28"/>
        <v>9</v>
      </c>
      <c r="F38" s="6">
        <f t="shared" si="28"/>
        <v>9</v>
      </c>
      <c r="G38" s="6">
        <f t="shared" si="28"/>
        <v>9</v>
      </c>
      <c r="H38" s="6">
        <f t="shared" si="28"/>
        <v>9</v>
      </c>
      <c r="I38" s="6">
        <f t="shared" si="28"/>
        <v>9</v>
      </c>
      <c r="J38" s="6">
        <f t="shared" si="28"/>
        <v>9</v>
      </c>
      <c r="K38" s="6">
        <f t="shared" si="28"/>
        <v>9</v>
      </c>
      <c r="L38" s="6">
        <f t="shared" si="28"/>
        <v>9</v>
      </c>
      <c r="M38" s="44"/>
      <c r="N38" s="44"/>
      <c r="O38" s="44"/>
      <c r="P38" s="6">
        <f t="shared" ref="P38:X38" si="29">SUM(P29:P37)/five</f>
        <v>9</v>
      </c>
      <c r="Q38" s="6">
        <f t="shared" si="29"/>
        <v>9</v>
      </c>
      <c r="R38" s="6">
        <f t="shared" si="29"/>
        <v>9</v>
      </c>
      <c r="S38" s="6">
        <f t="shared" si="29"/>
        <v>9</v>
      </c>
      <c r="T38" s="6">
        <f t="shared" si="29"/>
        <v>9</v>
      </c>
      <c r="U38" s="6">
        <f t="shared" si="29"/>
        <v>9</v>
      </c>
      <c r="V38" s="6">
        <f t="shared" si="29"/>
        <v>9</v>
      </c>
      <c r="W38" s="6">
        <f t="shared" si="29"/>
        <v>9</v>
      </c>
      <c r="X38" s="6">
        <f t="shared" si="29"/>
        <v>9</v>
      </c>
      <c r="Y38" s="44"/>
      <c r="Z38" s="44"/>
      <c r="AA38" s="44"/>
      <c r="AB38" s="6">
        <f t="shared" ref="AB38:AJ38" si="30">SUM(AB29:AB37)/six</f>
        <v>9</v>
      </c>
      <c r="AC38" s="6">
        <f t="shared" si="30"/>
        <v>9</v>
      </c>
      <c r="AD38" s="6">
        <f t="shared" si="30"/>
        <v>9</v>
      </c>
      <c r="AE38" s="6">
        <f t="shared" si="30"/>
        <v>9</v>
      </c>
      <c r="AF38" s="6">
        <f t="shared" si="30"/>
        <v>9</v>
      </c>
      <c r="AG38" s="6">
        <f t="shared" si="30"/>
        <v>9</v>
      </c>
      <c r="AH38" s="6">
        <f t="shared" si="30"/>
        <v>9</v>
      </c>
      <c r="AI38" s="6">
        <f t="shared" si="30"/>
        <v>9</v>
      </c>
      <c r="AJ38" s="6">
        <f t="shared" si="30"/>
        <v>9</v>
      </c>
      <c r="AK38" s="44"/>
      <c r="AL38" s="45"/>
      <c r="AM38" s="26"/>
      <c r="AN38" s="161"/>
      <c r="AO38" s="165"/>
      <c r="AP38" s="165"/>
      <c r="AQ38" s="165"/>
      <c r="AR38" s="165"/>
      <c r="AS38" s="165"/>
      <c r="AT38" s="165"/>
      <c r="AU38" s="165"/>
      <c r="AV38" s="165"/>
      <c r="AW38" s="165"/>
      <c r="AX38" s="166"/>
      <c r="AY38" s="26"/>
    </row>
    <row r="39" spans="1:51" x14ac:dyDescent="0.2">
      <c r="A39" s="26"/>
      <c r="B39" s="46"/>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5"/>
      <c r="AM39" s="26"/>
      <c r="AN39" s="161"/>
      <c r="AO39" s="165"/>
      <c r="AP39" s="165"/>
      <c r="AQ39" s="165"/>
      <c r="AR39" s="165"/>
      <c r="AS39" s="165"/>
      <c r="AT39" s="165"/>
      <c r="AU39" s="165"/>
      <c r="AV39" s="165"/>
      <c r="AW39" s="165"/>
      <c r="AX39" s="166"/>
      <c r="AY39" s="26"/>
    </row>
    <row r="40" spans="1:51" ht="13.5" thickBot="1" x14ac:dyDescent="0.25">
      <c r="A40" s="26"/>
      <c r="B40" s="46"/>
      <c r="C40" s="25">
        <v>7</v>
      </c>
      <c r="D40" s="44">
        <v>1</v>
      </c>
      <c r="E40" s="44">
        <v>2</v>
      </c>
      <c r="F40" s="44">
        <v>3</v>
      </c>
      <c r="G40" s="44">
        <v>4</v>
      </c>
      <c r="H40" s="44">
        <v>5</v>
      </c>
      <c r="I40" s="44">
        <v>6</v>
      </c>
      <c r="J40" s="44">
        <v>7</v>
      </c>
      <c r="K40" s="44">
        <v>8</v>
      </c>
      <c r="L40" s="44">
        <v>9</v>
      </c>
      <c r="M40" s="44"/>
      <c r="N40" s="44"/>
      <c r="O40" s="25">
        <v>8</v>
      </c>
      <c r="P40" s="44">
        <v>1</v>
      </c>
      <c r="Q40" s="44">
        <v>2</v>
      </c>
      <c r="R40" s="44">
        <v>3</v>
      </c>
      <c r="S40" s="44">
        <v>4</v>
      </c>
      <c r="T40" s="44">
        <v>5</v>
      </c>
      <c r="U40" s="44">
        <v>6</v>
      </c>
      <c r="V40" s="44">
        <v>7</v>
      </c>
      <c r="W40" s="44">
        <v>8</v>
      </c>
      <c r="X40" s="44">
        <v>9</v>
      </c>
      <c r="Y40" s="44"/>
      <c r="Z40" s="44"/>
      <c r="AA40" s="25">
        <v>9</v>
      </c>
      <c r="AB40" s="44">
        <v>1</v>
      </c>
      <c r="AC40" s="44">
        <v>2</v>
      </c>
      <c r="AD40" s="44">
        <v>3</v>
      </c>
      <c r="AE40" s="44">
        <v>4</v>
      </c>
      <c r="AF40" s="44">
        <v>5</v>
      </c>
      <c r="AG40" s="44">
        <v>6</v>
      </c>
      <c r="AH40" s="44">
        <v>7</v>
      </c>
      <c r="AI40" s="44">
        <v>8</v>
      </c>
      <c r="AJ40" s="44">
        <v>9</v>
      </c>
      <c r="AK40" s="44"/>
      <c r="AL40" s="45"/>
      <c r="AM40" s="26"/>
      <c r="AN40" s="161"/>
      <c r="AO40" s="165"/>
      <c r="AP40" s="165"/>
      <c r="AQ40" s="165"/>
      <c r="AR40" s="165"/>
      <c r="AS40" s="165"/>
      <c r="AT40" s="165"/>
      <c r="AU40" s="165"/>
      <c r="AV40" s="165"/>
      <c r="AW40" s="165"/>
      <c r="AX40" s="166"/>
      <c r="AY40" s="26"/>
    </row>
    <row r="41" spans="1:51" x14ac:dyDescent="0.2">
      <c r="A41" s="26"/>
      <c r="B41" s="46"/>
      <c r="C41" s="44">
        <v>1</v>
      </c>
      <c r="D41" s="2">
        <f>IF(OR(C4 &gt;0, MAX(COUNTIF(_row1, seven), COUNTIF(_col1, seven), COUNTIF(_sq11, seven)) = 1), "", seven)</f>
        <v>7</v>
      </c>
      <c r="E41" s="3">
        <f>IF(OR(D4 &gt;0, MAX(COUNTIF(_row1, seven), COUNTIF(_col2, seven), COUNTIF(_sq11, seven)) = 1), "", seven)</f>
        <v>7</v>
      </c>
      <c r="F41" s="4">
        <f>IF(OR(E4 &gt;0, MAX(COUNTIF(_row1, seven), COUNTIF(_col3, seven), COUNTIF(_sq11, seven)) = 1), "", seven)</f>
        <v>7</v>
      </c>
      <c r="G41" s="2">
        <f>IF(OR(F4 &gt;0, MAX(COUNTIF(_row1, seven), COUNTIF(_col4, seven), COUNTIF(_sq12, seven)) = 1), "", seven)</f>
        <v>7</v>
      </c>
      <c r="H41" s="3">
        <f>IF(OR(G4 &gt;0, MAX(COUNTIF(_row1, seven), COUNTIF(_col5, seven), COUNTIF(_sq12, seven)) = 1), "", seven)</f>
        <v>7</v>
      </c>
      <c r="I41" s="4">
        <f>IF(OR(H4 &gt;0, MAX(COUNTIF(_row1, seven), COUNTIF(_col6, seven), COUNTIF(_sq12, seven)) = 1), "", seven)</f>
        <v>7</v>
      </c>
      <c r="J41" s="2">
        <f>IF(OR(I4 &gt;0, MAX(COUNTIF(_row1, seven), COUNTIF(_col7, seven), COUNTIF(_sq13, seven)) = 1), "", seven)</f>
        <v>7</v>
      </c>
      <c r="K41" s="3">
        <f>IF(OR(J4 &gt;0, MAX(COUNTIF(_row1, seven), COUNTIF(_col8, seven), COUNTIF(_sq13, seven)) = 1), "", seven)</f>
        <v>7</v>
      </c>
      <c r="L41" s="4">
        <f>IF(OR(K4 &gt;0, MAX(COUNTIF(_row1, seven), COUNTIF(_col9, seven), COUNTIF(_sq13, seven)) = 1), "", seven)</f>
        <v>7</v>
      </c>
      <c r="M41" s="6">
        <f t="shared" ref="M41:M49" si="31">SUM(D41:L41)/seven</f>
        <v>9</v>
      </c>
      <c r="N41" s="44"/>
      <c r="O41" s="44">
        <v>1</v>
      </c>
      <c r="P41" s="2">
        <f>IF(OR(C4 &gt;0, MAX(COUNTIF(_row1, eight), COUNTIF(_col1, eight), COUNTIF(_sq11, eight)) = 1), "", eight)</f>
        <v>8</v>
      </c>
      <c r="Q41" s="3">
        <f>IF(OR(D4 &gt;0, MAX(COUNTIF(_row1, eight), COUNTIF(_col2, eight), COUNTIF(_sq11, eight)) = 1), "", eight)</f>
        <v>8</v>
      </c>
      <c r="R41" s="4">
        <f>IF(OR(E4 &gt;0, MAX(COUNTIF(_row1, eight), COUNTIF(_col3, eight), COUNTIF(_sq11, eight)) = 1), "", eight)</f>
        <v>8</v>
      </c>
      <c r="S41" s="2">
        <f>IF(OR(F4 &gt;0, MAX(COUNTIF(_row1, eight), COUNTIF(_col4, eight), COUNTIF(_sq12, eight)) = 1), "", eight)</f>
        <v>8</v>
      </c>
      <c r="T41" s="3">
        <f>IF(OR(G4 &gt;0, MAX(COUNTIF(_row1, eight), COUNTIF(_col5, eight), COUNTIF(_sq12, eight)) = 1), "", eight)</f>
        <v>8</v>
      </c>
      <c r="U41" s="4">
        <f>IF(OR(H4 &gt;0, MAX(COUNTIF(_row1, eight), COUNTIF(_col6, eight), COUNTIF(_sq12, eight)) = 1), "", eight)</f>
        <v>8</v>
      </c>
      <c r="V41" s="2">
        <f>IF(OR(I4 &gt;0, MAX(COUNTIF(_row1, eight), COUNTIF(_col7, eight), COUNTIF(_sq13, eight)) = 1), "", eight)</f>
        <v>8</v>
      </c>
      <c r="W41" s="3">
        <f>IF(OR(J4 &gt;0, MAX(COUNTIF(_row1, eight), COUNTIF(_col8, eight), COUNTIF(_sq13, eight)) = 1), "", eight)</f>
        <v>8</v>
      </c>
      <c r="X41" s="4">
        <f>IF(OR(K4 &gt;0, MAX(COUNTIF(_row1, eight), COUNTIF(_col9, eight), COUNTIF(_sq13, eight)) = 1), "", eight)</f>
        <v>8</v>
      </c>
      <c r="Y41" s="6">
        <f t="shared" ref="Y41:Y49" si="32">SUM(P41:X41)/eight</f>
        <v>9</v>
      </c>
      <c r="Z41" s="44"/>
      <c r="AA41" s="44">
        <v>1</v>
      </c>
      <c r="AB41" s="2">
        <f>IF(OR(C4 &gt;0, MAX(COUNTIF(_row1, nine), COUNTIF(_col1, nine), COUNTIF(_sq11, nine)) = 1), "", nine)</f>
        <v>9</v>
      </c>
      <c r="AC41" s="3">
        <f>IF(OR(D4 &gt;0, MAX(COUNTIF(_row1, nine), COUNTIF(_col2, nine), COUNTIF(_sq11, nine)) = 1), "", nine)</f>
        <v>9</v>
      </c>
      <c r="AD41" s="4">
        <f>IF(OR(E4 &gt;0, MAX(COUNTIF(_row1, nine), COUNTIF(_col3, nine), COUNTIF(_sq11, nine)) = 1), "", nine)</f>
        <v>9</v>
      </c>
      <c r="AE41" s="2">
        <f>IF(OR(F4 &gt;0, MAX(COUNTIF(_row1, nine), COUNTIF(_col4, nine), COUNTIF(_sq12, nine)) = 1), "", nine)</f>
        <v>9</v>
      </c>
      <c r="AF41" s="3">
        <f>IF(OR(G4 &gt;0, MAX(COUNTIF(_row1, nine), COUNTIF(_col5, nine), COUNTIF(_sq12, nine)) = 1), "", nine)</f>
        <v>9</v>
      </c>
      <c r="AG41" s="4">
        <f>IF(OR(H4 &gt;0, MAX(COUNTIF(_row1, nine), COUNTIF(_col6, nine), COUNTIF(_sq12, nine)) = 1), "", nine)</f>
        <v>9</v>
      </c>
      <c r="AH41" s="2">
        <f>IF(OR(I4 &gt;0, MAX(COUNTIF(_row1, nine), COUNTIF(_col7, nine), COUNTIF(_sq13, nine)) = 1), "", nine)</f>
        <v>9</v>
      </c>
      <c r="AI41" s="3">
        <f>IF(OR(J4 &gt;0, MAX(COUNTIF(_row1, nine), COUNTIF(_col8, nine), COUNTIF(_sq13, nine)) = 1), "", nine)</f>
        <v>9</v>
      </c>
      <c r="AJ41" s="4">
        <f>IF(OR(K4 &gt;0, MAX(COUNTIF(_row1, nine), COUNTIF(_col9, nine), COUNTIF(_sq13, nine)) = 1), "", nine)</f>
        <v>9</v>
      </c>
      <c r="AK41" s="6">
        <f t="shared" ref="AK41:AK49" si="33">SUM(AB41:AJ41)/nine</f>
        <v>9</v>
      </c>
      <c r="AL41" s="45"/>
      <c r="AM41" s="26"/>
      <c r="AN41" s="161"/>
      <c r="AO41" s="29"/>
      <c r="AP41" s="30"/>
      <c r="AQ41" s="31"/>
      <c r="AR41" s="29"/>
      <c r="AS41" s="30"/>
      <c r="AT41" s="31"/>
      <c r="AU41" s="29"/>
      <c r="AV41" s="30"/>
      <c r="AW41" s="31"/>
      <c r="AX41" s="166"/>
      <c r="AY41" s="26"/>
    </row>
    <row r="42" spans="1:51" x14ac:dyDescent="0.2">
      <c r="A42" s="26"/>
      <c r="B42" s="46"/>
      <c r="C42" s="44">
        <v>2</v>
      </c>
      <c r="D42" s="5">
        <f>IF(OR(C5 &gt;0, MAX(COUNTIF(_row2, seven), COUNTIF(_col1, seven), COUNTIF(_sq11, seven)) = 1), "", seven)</f>
        <v>7</v>
      </c>
      <c r="E42" s="6">
        <f>IF(OR(D5 &gt;0, MAX(COUNTIF(_row2, seven), COUNTIF(_col2, seven), COUNTIF(_sq11, seven)) = 1), "", seven)</f>
        <v>7</v>
      </c>
      <c r="F42" s="7">
        <f>IF(OR(E5 &gt;0, MAX(COUNTIF(_row2, seven), COUNTIF(_col3, seven), COUNTIF(_sq11, seven)) = 1), "", seven)</f>
        <v>7</v>
      </c>
      <c r="G42" s="5">
        <f>IF(OR(F5 &gt;0, MAX(COUNTIF(_row2, seven), COUNTIF(_col4, seven), COUNTIF(_sq12, seven)) = 1), "", seven)</f>
        <v>7</v>
      </c>
      <c r="H42" s="6">
        <f>IF(OR(G5 &gt;0, MAX(COUNTIF(_row2, seven), COUNTIF(_col5, seven), COUNTIF(_sq12, seven)) = 1), "", seven)</f>
        <v>7</v>
      </c>
      <c r="I42" s="7">
        <f>IF(OR(H5 &gt;0, MAX(COUNTIF(_row2, seven), COUNTIF(_col6, seven), COUNTIF(_sq12, seven)) = 1), "", seven)</f>
        <v>7</v>
      </c>
      <c r="J42" s="5">
        <f>IF(OR(I5 &gt;0, MAX(COUNTIF(_row2, seven), COUNTIF(_col7, seven), COUNTIF(_sq13, seven)) = 1), "", seven)</f>
        <v>7</v>
      </c>
      <c r="K42" s="6">
        <f>IF(OR(J5 &gt;0, MAX(COUNTIF(_row2, seven), COUNTIF(_col8, seven), COUNTIF(_sq13, seven)) = 1), "", seven)</f>
        <v>7</v>
      </c>
      <c r="L42" s="7">
        <f>IF(OR(K5 &gt;0, MAX(COUNTIF(_row2, seven), COUNTIF(_col9, seven), COUNTIF(_sq13, seven)) = 1), "", seven)</f>
        <v>7</v>
      </c>
      <c r="M42" s="6">
        <f t="shared" si="31"/>
        <v>9</v>
      </c>
      <c r="N42" s="44"/>
      <c r="O42" s="44">
        <v>2</v>
      </c>
      <c r="P42" s="5">
        <f>IF(OR(C5 &gt;0, MAX(COUNTIF(_row2, eight), COUNTIF(_col1, eight), COUNTIF(_sq11, eight)) = 1), "", eight)</f>
        <v>8</v>
      </c>
      <c r="Q42" s="6">
        <f>IF(OR(D5 &gt;0, MAX(COUNTIF(_row2, eight), COUNTIF(_col2, eight), COUNTIF(_sq11, eight)) = 1), "", eight)</f>
        <v>8</v>
      </c>
      <c r="R42" s="7">
        <f>IF(OR(E5 &gt;0, MAX(COUNTIF(_row2, eight), COUNTIF(_col3, eight), COUNTIF(_sq11, eight)) = 1), "", eight)</f>
        <v>8</v>
      </c>
      <c r="S42" s="5">
        <f>IF(OR(F5 &gt;0, MAX(COUNTIF(_row2, eight), COUNTIF(_col4, eight), COUNTIF(_sq12, eight)) = 1), "", eight)</f>
        <v>8</v>
      </c>
      <c r="T42" s="6">
        <f>IF(OR(G5 &gt;0, MAX(COUNTIF(_row2, eight), COUNTIF(_col5, eight), COUNTIF(_sq12, eight)) = 1), "", eight)</f>
        <v>8</v>
      </c>
      <c r="U42" s="7">
        <f>IF(OR(H5 &gt;0, MAX(COUNTIF(_row2, eight), COUNTIF(_col6, eight), COUNTIF(_sq12, eight)) = 1), "", eight)</f>
        <v>8</v>
      </c>
      <c r="V42" s="5">
        <f>IF(OR(I5 &gt;0, MAX(COUNTIF(_row2, eight), COUNTIF(_col7, eight), COUNTIF(_sq13, eight)) = 1), "", eight)</f>
        <v>8</v>
      </c>
      <c r="W42" s="6">
        <f>IF(OR(J5 &gt;0, MAX(COUNTIF(_row2, eight), COUNTIF(_col8, eight), COUNTIF(_sq13, eight)) = 1), "", eight)</f>
        <v>8</v>
      </c>
      <c r="X42" s="7">
        <f>IF(OR(K5 &gt;0, MAX(COUNTIF(_row2, eight), COUNTIF(_col9, eight), COUNTIF(_sq13, eight)) = 1), "", eight)</f>
        <v>8</v>
      </c>
      <c r="Y42" s="6">
        <f t="shared" si="32"/>
        <v>9</v>
      </c>
      <c r="Z42" s="44"/>
      <c r="AA42" s="44">
        <v>2</v>
      </c>
      <c r="AB42" s="5">
        <f>IF(OR(C5 &gt;0, MAX(COUNTIF(_row2, nine), COUNTIF(_col1, nine), COUNTIF(_sq11, nine)) = 1), "", nine)</f>
        <v>9</v>
      </c>
      <c r="AC42" s="6">
        <f>IF(OR(D5 &gt;0, MAX(COUNTIF(_row2, nine), COUNTIF(_col2, nine), COUNTIF(_sq11, nine)) = 1), "", nine)</f>
        <v>9</v>
      </c>
      <c r="AD42" s="7">
        <f>IF(OR(E5 &gt;0, MAX(COUNTIF(_row2, nine), COUNTIF(_col3, nine), COUNTIF(_sq11, nine)) = 1), "", nine)</f>
        <v>9</v>
      </c>
      <c r="AE42" s="5">
        <f>IF(OR(F5 &gt;0, MAX(COUNTIF(_row2, nine), COUNTIF(_col4, nine), COUNTIF(_sq12, nine)) = 1), "", nine)</f>
        <v>9</v>
      </c>
      <c r="AF42" s="6">
        <f>IF(OR(G5 &gt;0, MAX(COUNTIF(_row2, nine), COUNTIF(_col5, nine), COUNTIF(_sq12, nine)) = 1), "", nine)</f>
        <v>9</v>
      </c>
      <c r="AG42" s="7">
        <f>IF(OR(H5 &gt;0, MAX(COUNTIF(_row2, nine), COUNTIF(_col6, nine), COUNTIF(_sq12, nine)) = 1), "", nine)</f>
        <v>9</v>
      </c>
      <c r="AH42" s="5">
        <f>IF(OR(I5 &gt;0, MAX(COUNTIF(_row2, nine), COUNTIF(_col7, nine), COUNTIF(_sq13, nine)) = 1), "", nine)</f>
        <v>9</v>
      </c>
      <c r="AI42" s="6">
        <f>IF(OR(J5 &gt;0, MAX(COUNTIF(_row2, nine), COUNTIF(_col8, nine), COUNTIF(_sq13, nine)) = 1), "", nine)</f>
        <v>9</v>
      </c>
      <c r="AJ42" s="7">
        <f>IF(OR(K5 &gt;0, MAX(COUNTIF(_row2, nine), COUNTIF(_col9, nine), COUNTIF(_sq13, nine)) = 1), "", nine)</f>
        <v>9</v>
      </c>
      <c r="AK42" s="6">
        <f t="shared" si="33"/>
        <v>9</v>
      </c>
      <c r="AL42" s="45"/>
      <c r="AM42" s="26"/>
      <c r="AN42" s="161"/>
      <c r="AO42" s="32"/>
      <c r="AP42" s="33"/>
      <c r="AQ42" s="34"/>
      <c r="AR42" s="32"/>
      <c r="AS42" s="33"/>
      <c r="AT42" s="34"/>
      <c r="AU42" s="32"/>
      <c r="AV42" s="33"/>
      <c r="AW42" s="34"/>
      <c r="AX42" s="166"/>
      <c r="AY42" s="26"/>
    </row>
    <row r="43" spans="1:51" ht="13.5" thickBot="1" x14ac:dyDescent="0.25">
      <c r="A43" s="26"/>
      <c r="B43" s="46"/>
      <c r="C43" s="44">
        <v>3</v>
      </c>
      <c r="D43" s="8">
        <f>IF(OR(C6 &gt;0, MAX(COUNTIF(_row3, seven), COUNTIF(_col1, seven), COUNTIF(_sq11, seven)) = 1), "", seven)</f>
        <v>7</v>
      </c>
      <c r="E43" s="9">
        <f>IF(OR(D6 &gt;0, MAX(COUNTIF(_row3, seven), COUNTIF(_col2, seven), COUNTIF(_sq11, seven)) = 1), "", seven)</f>
        <v>7</v>
      </c>
      <c r="F43" s="10">
        <f>IF(OR(E6 &gt;0, MAX(COUNTIF(_row3, seven), COUNTIF(_col3, seven), COUNTIF(_sq11, seven)) = 1), "", seven)</f>
        <v>7</v>
      </c>
      <c r="G43" s="8">
        <f>IF(OR(F6 &gt;0, MAX(COUNTIF(_row3, seven), COUNTIF(_col4, seven), COUNTIF(_sq12, seven)) = 1), "", seven)</f>
        <v>7</v>
      </c>
      <c r="H43" s="9">
        <f>IF(OR(G6 &gt;0, MAX(COUNTIF(_row3, seven), COUNTIF(_col5, seven), COUNTIF(_sq12, seven)) = 1), "", seven)</f>
        <v>7</v>
      </c>
      <c r="I43" s="10">
        <f>IF(OR(H6 &gt;0, MAX(COUNTIF(_row3, seven), COUNTIF(_col6, seven), COUNTIF(_sq12, seven)) = 1), "", seven)</f>
        <v>7</v>
      </c>
      <c r="J43" s="8">
        <f>IF(OR(I6 &gt;0, MAX(COUNTIF(_row3, seven), COUNTIF(_col7, seven), COUNTIF(_sq13, seven)) = 1), "", seven)</f>
        <v>7</v>
      </c>
      <c r="K43" s="9">
        <f>IF(OR(J6 &gt;0, MAX(COUNTIF(_row3, seven), COUNTIF(_col8, seven), COUNTIF(_sq13, seven)) = 1), "", seven)</f>
        <v>7</v>
      </c>
      <c r="L43" s="10">
        <f>IF(OR(K6 &gt;0, MAX(COUNTIF(_row3, seven), COUNTIF(_col9, seven), COUNTIF(_sq13, seven)) = 1), "", seven)</f>
        <v>7</v>
      </c>
      <c r="M43" s="6">
        <f t="shared" si="31"/>
        <v>9</v>
      </c>
      <c r="N43" s="44"/>
      <c r="O43" s="44">
        <v>3</v>
      </c>
      <c r="P43" s="8">
        <f>IF(OR(C6 &gt;0, MAX(COUNTIF(_row3, eight), COUNTIF(_col1, eight), COUNTIF(_sq11, eight)) = 1), "", eight)</f>
        <v>8</v>
      </c>
      <c r="Q43" s="9">
        <f>IF(OR(D6 &gt;0, MAX(COUNTIF(_row3, eight), COUNTIF(_col2, eight), COUNTIF(_sq11, eight)) = 1), "", eight)</f>
        <v>8</v>
      </c>
      <c r="R43" s="10">
        <f>IF(OR(E6 &gt;0, MAX(COUNTIF(_row3, eight), COUNTIF(_col3, eight), COUNTIF(_sq11, eight)) = 1), "", eight)</f>
        <v>8</v>
      </c>
      <c r="S43" s="8">
        <f>IF(OR(F6 &gt;0, MAX(COUNTIF(_row3, eight), COUNTIF(_col4, eight), COUNTIF(_sq12, eight)) = 1), "", eight)</f>
        <v>8</v>
      </c>
      <c r="T43" s="9">
        <f>IF(OR(G6 &gt;0, MAX(COUNTIF(_row3, eight), COUNTIF(_col5, eight), COUNTIF(_sq12, eight)) = 1), "", eight)</f>
        <v>8</v>
      </c>
      <c r="U43" s="10">
        <f>IF(OR(H6 &gt;0, MAX(COUNTIF(_row3, eight), COUNTIF(_col6, eight), COUNTIF(_sq12, eight)) = 1), "", eight)</f>
        <v>8</v>
      </c>
      <c r="V43" s="8">
        <f>IF(OR(I6 &gt;0, MAX(COUNTIF(_row3, eight), COUNTIF(_col7, eight), COUNTIF(_sq13, eight)) = 1), "", eight)</f>
        <v>8</v>
      </c>
      <c r="W43" s="9">
        <f>IF(OR(J6 &gt;0, MAX(COUNTIF(_row3, eight), COUNTIF(_col8, eight), COUNTIF(_sq13, eight)) = 1), "", eight)</f>
        <v>8</v>
      </c>
      <c r="X43" s="10">
        <f>IF(OR(K6 &gt;0, MAX(COUNTIF(_row3, eight), COUNTIF(_col9, eight), COUNTIF(_sq13, eight)) = 1), "", eight)</f>
        <v>8</v>
      </c>
      <c r="Y43" s="6">
        <f t="shared" si="32"/>
        <v>9</v>
      </c>
      <c r="Z43" s="44"/>
      <c r="AA43" s="44">
        <v>3</v>
      </c>
      <c r="AB43" s="8">
        <f>IF(OR(C6 &gt;0, MAX(COUNTIF(_row3, nine), COUNTIF(_col1, nine), COUNTIF(_sq11, nine)) = 1), "", nine)</f>
        <v>9</v>
      </c>
      <c r="AC43" s="9">
        <f>IF(OR(D6 &gt;0, MAX(COUNTIF(_row3, nine), COUNTIF(_col2, nine), COUNTIF(_sq11, nine)) = 1), "", nine)</f>
        <v>9</v>
      </c>
      <c r="AD43" s="10">
        <f>IF(OR(E6 &gt;0, MAX(COUNTIF(_row3, nine), COUNTIF(_col3, nine), COUNTIF(_sq11, nine)) = 1), "", nine)</f>
        <v>9</v>
      </c>
      <c r="AE43" s="8">
        <f>IF(OR(F6 &gt;0, MAX(COUNTIF(_row3, nine), COUNTIF(_col4, nine), COUNTIF(_sq12, nine)) = 1), "", nine)</f>
        <v>9</v>
      </c>
      <c r="AF43" s="9">
        <f>IF(OR(G6 &gt;0, MAX(COUNTIF(_row3, nine), COUNTIF(_col5, nine), COUNTIF(_sq12, nine)) = 1), "", nine)</f>
        <v>9</v>
      </c>
      <c r="AG43" s="10">
        <f>IF(OR(H6 &gt;0, MAX(COUNTIF(_row3, nine), COUNTIF(_col6, nine), COUNTIF(_sq12, nine)) = 1), "", nine)</f>
        <v>9</v>
      </c>
      <c r="AH43" s="8">
        <f>IF(OR(I6 &gt;0, MAX(COUNTIF(_row3, nine), COUNTIF(_col7, nine), COUNTIF(_sq13, nine)) = 1), "", nine)</f>
        <v>9</v>
      </c>
      <c r="AI43" s="9">
        <f>IF(OR(J6 &gt;0, MAX(COUNTIF(_row3, nine), COUNTIF(_col8, nine), COUNTIF(_sq13, nine)) = 1), "", nine)</f>
        <v>9</v>
      </c>
      <c r="AJ43" s="10">
        <f>IF(OR(K6 &gt;0, MAX(COUNTIF(_row3, nine), COUNTIF(_col9, nine), COUNTIF(_sq13, nine)) = 1), "", nine)</f>
        <v>9</v>
      </c>
      <c r="AK43" s="6">
        <f t="shared" si="33"/>
        <v>9</v>
      </c>
      <c r="AL43" s="45"/>
      <c r="AM43" s="26"/>
      <c r="AN43" s="161"/>
      <c r="AO43" s="35"/>
      <c r="AP43" s="36"/>
      <c r="AQ43" s="37"/>
      <c r="AR43" s="35"/>
      <c r="AS43" s="36"/>
      <c r="AT43" s="37"/>
      <c r="AU43" s="35"/>
      <c r="AV43" s="36"/>
      <c r="AW43" s="37"/>
      <c r="AX43" s="166"/>
      <c r="AY43" s="26"/>
    </row>
    <row r="44" spans="1:51" x14ac:dyDescent="0.2">
      <c r="A44" s="26"/>
      <c r="B44" s="46"/>
      <c r="C44" s="44">
        <v>4</v>
      </c>
      <c r="D44" s="2">
        <f>IF(OR(C7 &gt;0, MAX(COUNTIF(_row4, seven), COUNTIF(_col1, seven), COUNTIF(_sq21, seven)) = 1), "", seven)</f>
        <v>7</v>
      </c>
      <c r="E44" s="3">
        <f>IF(OR(D7 &gt;0, MAX(COUNTIF(_row4, seven), COUNTIF(_col2, seven), COUNTIF(_sq21, seven)) = 1), "", seven)</f>
        <v>7</v>
      </c>
      <c r="F44" s="4">
        <f>IF(OR(E7 &gt;0, MAX(COUNTIF(_row4, seven), COUNTIF(_col3, seven), COUNTIF(_sq21, seven)) = 1), "", seven)</f>
        <v>7</v>
      </c>
      <c r="G44" s="2">
        <f>IF(OR(F7 &gt;0, MAX(COUNTIF(_row4, seven), COUNTIF(_col4, seven), COUNTIF(_sq22, seven)) = 1), "", seven)</f>
        <v>7</v>
      </c>
      <c r="H44" s="3">
        <f>IF(OR(G7 &gt;0, MAX(COUNTIF(_row4, seven), COUNTIF(_col5, seven), COUNTIF(_sq22, seven)) = 1), "", seven)</f>
        <v>7</v>
      </c>
      <c r="I44" s="4">
        <f>IF(OR(H7 &gt;0, MAX(COUNTIF(_row4, seven), COUNTIF(_col6, seven), COUNTIF(_sq22, seven)) = 1), "", seven)</f>
        <v>7</v>
      </c>
      <c r="J44" s="2">
        <f>IF(OR(I7 &gt;0, MAX(COUNTIF(_row4, seven), COUNTIF(_col7, seven), COUNTIF(_sq23, seven)) = 1), "", seven)</f>
        <v>7</v>
      </c>
      <c r="K44" s="3">
        <f>IF(OR(J7 &gt;0, MAX(COUNTIF(_row4, seven), COUNTIF(_col8, seven), COUNTIF(_sq23, seven)) = 1), "", seven)</f>
        <v>7</v>
      </c>
      <c r="L44" s="4">
        <f>IF(OR(K7 &gt;0, MAX(COUNTIF(_row4, seven), COUNTIF(_col9, seven), COUNTIF(_sq23, seven)) = 1), "", seven)</f>
        <v>7</v>
      </c>
      <c r="M44" s="6">
        <f t="shared" si="31"/>
        <v>9</v>
      </c>
      <c r="N44" s="44"/>
      <c r="O44" s="44">
        <v>4</v>
      </c>
      <c r="P44" s="2">
        <f>IF(OR(C7 &gt;0, MAX(COUNTIF(_row4, eight), COUNTIF(_col1, eight), COUNTIF(_sq21, eight)) = 1), "", eight)</f>
        <v>8</v>
      </c>
      <c r="Q44" s="3">
        <f>IF(OR(D7 &gt;0, MAX(COUNTIF(_row4, eight), COUNTIF(_col2, eight), COUNTIF(_sq21, eight)) = 1), "", eight)</f>
        <v>8</v>
      </c>
      <c r="R44" s="4">
        <f>IF(OR(E7 &gt;0, MAX(COUNTIF(_row4, eight), COUNTIF(_col3, eight), COUNTIF(_sq21, eight)) = 1), "", eight)</f>
        <v>8</v>
      </c>
      <c r="S44" s="2">
        <f>IF(OR(F7 &gt;0, MAX(COUNTIF(_row4, eight), COUNTIF(_col4, eight), COUNTIF(_sq22, eight)) = 1), "", eight)</f>
        <v>8</v>
      </c>
      <c r="T44" s="3">
        <f>IF(OR(G7 &gt;0, MAX(COUNTIF(_row4, eight), COUNTIF(_col5, eight), COUNTIF(_sq22, eight)) = 1), "", eight)</f>
        <v>8</v>
      </c>
      <c r="U44" s="4">
        <f>IF(OR(H7 &gt;0, MAX(COUNTIF(_row4, eight), COUNTIF(_col6, eight), COUNTIF(_sq22, eight)) = 1), "", eight)</f>
        <v>8</v>
      </c>
      <c r="V44" s="2">
        <f>IF(OR(I7 &gt;0, MAX(COUNTIF(_row4, eight), COUNTIF(_col7, eight), COUNTIF(_sq23, eight)) = 1), "", eight)</f>
        <v>8</v>
      </c>
      <c r="W44" s="3">
        <f>IF(OR(J7 &gt;0, MAX(COUNTIF(_row4, eight), COUNTIF(_col8, eight), COUNTIF(_sq23, eight)) = 1), "", eight)</f>
        <v>8</v>
      </c>
      <c r="X44" s="4">
        <f>IF(OR(K7 &gt;0, MAX(COUNTIF(_row4, eight), COUNTIF(_col9, eight), COUNTIF(_sq23, eight)) = 1), "", eight)</f>
        <v>8</v>
      </c>
      <c r="Y44" s="6">
        <f t="shared" si="32"/>
        <v>9</v>
      </c>
      <c r="Z44" s="44"/>
      <c r="AA44" s="44">
        <v>4</v>
      </c>
      <c r="AB44" s="2">
        <f>IF(OR(C7 &gt;0, MAX(COUNTIF(_row4, nine), COUNTIF(_col1, nine), COUNTIF(_sq21, nine)) = 1), "", nine)</f>
        <v>9</v>
      </c>
      <c r="AC44" s="3">
        <f>IF(OR(D7 &gt;0, MAX(COUNTIF(_row4, nine), COUNTIF(_col2, nine), COUNTIF(_sq21, nine)) = 1), "", nine)</f>
        <v>9</v>
      </c>
      <c r="AD44" s="4">
        <f>IF(OR(E7 &gt;0, MAX(COUNTIF(_row4, nine), COUNTIF(_col3, nine), COUNTIF(_sq21, nine)) = 1), "", nine)</f>
        <v>9</v>
      </c>
      <c r="AE44" s="2">
        <f>IF(OR(F7 &gt;0, MAX(COUNTIF(_row4, nine), COUNTIF(_col4, nine), COUNTIF(_sq22, nine)) = 1), "", nine)</f>
        <v>9</v>
      </c>
      <c r="AF44" s="3">
        <f>IF(OR(G7 &gt;0, MAX(COUNTIF(_row4, nine), COUNTIF(_col5, nine), COUNTIF(_sq22, nine)) = 1), "", nine)</f>
        <v>9</v>
      </c>
      <c r="AG44" s="4">
        <f>IF(OR(H7 &gt;0, MAX(COUNTIF(_row4, nine), COUNTIF(_col6, nine), COUNTIF(_sq22, nine)) = 1), "", nine)</f>
        <v>9</v>
      </c>
      <c r="AH44" s="2">
        <f>IF(OR(I7 &gt;0, MAX(COUNTIF(_row4, nine), COUNTIF(_col7, nine), COUNTIF(_sq23, nine)) = 1), "", nine)</f>
        <v>9</v>
      </c>
      <c r="AI44" s="3">
        <f>IF(OR(J7 &gt;0, MAX(COUNTIF(_row4, nine), COUNTIF(_col8, nine), COUNTIF(_sq23, nine)) = 1), "", nine)</f>
        <v>9</v>
      </c>
      <c r="AJ44" s="4">
        <f>IF(OR(K7 &gt;0, MAX(COUNTIF(_row4, nine), COUNTIF(_col9, nine), COUNTIF(_sq23, nine)) = 1), "", nine)</f>
        <v>9</v>
      </c>
      <c r="AK44" s="6">
        <f t="shared" si="33"/>
        <v>9</v>
      </c>
      <c r="AL44" s="45"/>
      <c r="AM44" s="26"/>
      <c r="AN44" s="161"/>
      <c r="AO44" s="29"/>
      <c r="AP44" s="30"/>
      <c r="AQ44" s="31"/>
      <c r="AR44" s="29"/>
      <c r="AS44" s="30"/>
      <c r="AT44" s="31"/>
      <c r="AU44" s="29"/>
      <c r="AV44" s="30"/>
      <c r="AW44" s="31"/>
      <c r="AX44" s="166"/>
      <c r="AY44" s="26"/>
    </row>
    <row r="45" spans="1:51" x14ac:dyDescent="0.2">
      <c r="A45" s="26"/>
      <c r="B45" s="46"/>
      <c r="C45" s="44">
        <v>5</v>
      </c>
      <c r="D45" s="5">
        <f>IF(OR(C8 &gt;0, MAX(COUNTIF(_row5, seven), COUNTIF(_col1, seven), COUNTIF(_sq21, seven)) = 1), "", seven)</f>
        <v>7</v>
      </c>
      <c r="E45" s="6">
        <f>IF(OR(D8 &gt;0, MAX(COUNTIF(_row5, seven), COUNTIF(_col2, seven), COUNTIF(_sq21, seven)) = 1), "", seven)</f>
        <v>7</v>
      </c>
      <c r="F45" s="7">
        <f>IF(OR(E8 &gt;0, MAX(COUNTIF(_row5, seven), COUNTIF(_col3, seven), COUNTIF(_sq21, seven)) = 1), "", seven)</f>
        <v>7</v>
      </c>
      <c r="G45" s="5">
        <f>IF(OR(F8 &gt;0, MAX(COUNTIF(_row5, seven), COUNTIF(_col4, seven), COUNTIF(_sq22, seven)) = 1), "", seven)</f>
        <v>7</v>
      </c>
      <c r="H45" s="6">
        <f>IF(OR(G8 &gt;0, MAX(COUNTIF(_row5, seven), COUNTIF(_col5, seven), COUNTIF(_sq22, seven)) = 1), "", seven)</f>
        <v>7</v>
      </c>
      <c r="I45" s="7">
        <f>IF(OR(H8 &gt;0, MAX(COUNTIF(_row5, seven), COUNTIF(_col6, seven), COUNTIF(_sq22, seven)) = 1), "", seven)</f>
        <v>7</v>
      </c>
      <c r="J45" s="5">
        <f>IF(OR(I8 &gt;0, MAX(COUNTIF(_row5, seven), COUNTIF(_col7, seven), COUNTIF(_sq23, seven)) = 1), "", seven)</f>
        <v>7</v>
      </c>
      <c r="K45" s="6">
        <f>IF(OR(J8 &gt;0, MAX(COUNTIF(_row5, seven), COUNTIF(_col8, seven), COUNTIF(_sq23, seven)) = 1), "", seven)</f>
        <v>7</v>
      </c>
      <c r="L45" s="7">
        <f>IF(OR(K8 &gt;0, MAX(COUNTIF(_row5, seven), COUNTIF(_col9, seven), COUNTIF(_sq23, seven)) = 1), "", seven)</f>
        <v>7</v>
      </c>
      <c r="M45" s="6">
        <f t="shared" si="31"/>
        <v>9</v>
      </c>
      <c r="N45" s="44"/>
      <c r="O45" s="44">
        <v>5</v>
      </c>
      <c r="P45" s="5">
        <f>IF(OR(C8 &gt;0, MAX(COUNTIF(_row5, eight), COUNTIF(_col1, eight), COUNTIF(_sq21, eight)) = 1), "", eight)</f>
        <v>8</v>
      </c>
      <c r="Q45" s="6">
        <f>IF(OR(D8 &gt;0, MAX(COUNTIF(_row5, eight), COUNTIF(_col2, eight), COUNTIF(_sq21, eight)) = 1), "", eight)</f>
        <v>8</v>
      </c>
      <c r="R45" s="7">
        <f>IF(OR(E8 &gt;0, MAX(COUNTIF(_row5, eight), COUNTIF(_col3, eight), COUNTIF(_sq21, eight)) = 1), "", eight)</f>
        <v>8</v>
      </c>
      <c r="S45" s="5">
        <f>IF(OR(F8 &gt;0, MAX(COUNTIF(_row5, eight), COUNTIF(_col4, eight), COUNTIF(_sq22, eight)) = 1), "", eight)</f>
        <v>8</v>
      </c>
      <c r="T45" s="6">
        <f>IF(OR(G8 &gt;0, MAX(COUNTIF(_row5, eight), COUNTIF(_col5, eight), COUNTIF(_sq22, eight)) = 1), "", eight)</f>
        <v>8</v>
      </c>
      <c r="U45" s="7">
        <f>IF(OR(H8 &gt;0, MAX(COUNTIF(_row5, eight), COUNTIF(_col6, eight), COUNTIF(_sq22, eight)) = 1), "", eight)</f>
        <v>8</v>
      </c>
      <c r="V45" s="5">
        <f>IF(OR(I8 &gt;0, MAX(COUNTIF(_row5, eight), COUNTIF(_col7, eight), COUNTIF(_sq23, eight)) = 1), "", eight)</f>
        <v>8</v>
      </c>
      <c r="W45" s="6">
        <f>IF(OR(J8 &gt;0, MAX(COUNTIF(_row5, eight), COUNTIF(_col8, eight), COUNTIF(_sq23, eight)) = 1), "", eight)</f>
        <v>8</v>
      </c>
      <c r="X45" s="7">
        <f>IF(OR(K8 &gt;0, MAX(COUNTIF(_row5, eight), COUNTIF(_col9, eight), COUNTIF(_sq23, eight)) = 1), "", eight)</f>
        <v>8</v>
      </c>
      <c r="Y45" s="6">
        <f t="shared" si="32"/>
        <v>9</v>
      </c>
      <c r="Z45" s="44"/>
      <c r="AA45" s="44">
        <v>5</v>
      </c>
      <c r="AB45" s="5">
        <f>IF(OR(C8 &gt;0, MAX(COUNTIF(_row5, nine), COUNTIF(_col1, nine), COUNTIF(_sq21, nine)) = 1), "", nine)</f>
        <v>9</v>
      </c>
      <c r="AC45" s="6">
        <f>IF(OR(D8 &gt;0, MAX(COUNTIF(_row5, nine), COUNTIF(_col2, nine), COUNTIF(_sq21, nine)) = 1), "", nine)</f>
        <v>9</v>
      </c>
      <c r="AD45" s="7">
        <f>IF(OR(E8 &gt;0, MAX(COUNTIF(_row5, nine), COUNTIF(_col3, nine), COUNTIF(_sq21, nine)) = 1), "", nine)</f>
        <v>9</v>
      </c>
      <c r="AE45" s="5">
        <f>IF(OR(F8 &gt;0, MAX(COUNTIF(_row5, nine), COUNTIF(_col4, nine), COUNTIF(_sq22, nine)) = 1), "", nine)</f>
        <v>9</v>
      </c>
      <c r="AF45" s="6">
        <f>IF(OR(G8 &gt;0, MAX(COUNTIF(_row5, nine), COUNTIF(_col5, nine), COUNTIF(_sq22, nine)) = 1), "", nine)</f>
        <v>9</v>
      </c>
      <c r="AG45" s="7">
        <f>IF(OR(H8 &gt;0, MAX(COUNTIF(_row5, nine), COUNTIF(_col6, nine), COUNTIF(_sq22, nine)) = 1), "", nine)</f>
        <v>9</v>
      </c>
      <c r="AH45" s="5">
        <f>IF(OR(I8 &gt;0, MAX(COUNTIF(_row5, nine), COUNTIF(_col7, nine), COUNTIF(_sq23, nine)) = 1), "", nine)</f>
        <v>9</v>
      </c>
      <c r="AI45" s="6">
        <f>IF(OR(J8 &gt;0, MAX(COUNTIF(_row5, nine), COUNTIF(_col8, nine), COUNTIF(_sq23, nine)) = 1), "", nine)</f>
        <v>9</v>
      </c>
      <c r="AJ45" s="7">
        <f>IF(OR(K8 &gt;0, MAX(COUNTIF(_row5, nine), COUNTIF(_col9, nine), COUNTIF(_sq23, nine)) = 1), "", nine)</f>
        <v>9</v>
      </c>
      <c r="AK45" s="6">
        <f t="shared" si="33"/>
        <v>9</v>
      </c>
      <c r="AL45" s="45"/>
      <c r="AM45" s="26"/>
      <c r="AN45" s="161"/>
      <c r="AO45" s="32"/>
      <c r="AP45" s="33"/>
      <c r="AQ45" s="34"/>
      <c r="AR45" s="32"/>
      <c r="AS45" s="33"/>
      <c r="AT45" s="34"/>
      <c r="AU45" s="32"/>
      <c r="AV45" s="33"/>
      <c r="AW45" s="34"/>
      <c r="AX45" s="166"/>
      <c r="AY45" s="26"/>
    </row>
    <row r="46" spans="1:51" ht="13.5" thickBot="1" x14ac:dyDescent="0.25">
      <c r="A46" s="26"/>
      <c r="B46" s="46"/>
      <c r="C46" s="44">
        <v>6</v>
      </c>
      <c r="D46" s="8">
        <f>IF(OR(C9 &gt;0, MAX(COUNTIF(_row6, seven), COUNTIF(_col1, seven), COUNTIF(_sq21, seven)) = 1), "", seven)</f>
        <v>7</v>
      </c>
      <c r="E46" s="9">
        <f>IF(OR(D9 &gt;0, MAX(COUNTIF(_row6, seven), COUNTIF(_col2, seven), COUNTIF(_sq21, seven)) = 1), "", seven)</f>
        <v>7</v>
      </c>
      <c r="F46" s="10">
        <f>IF(OR(E9 &gt;0, MAX(COUNTIF(_row6, seven), COUNTIF(_col3, seven), COUNTIF(_sq21, seven)) = 1), "", seven)</f>
        <v>7</v>
      </c>
      <c r="G46" s="8">
        <f>IF(OR(F9 &gt;0, MAX(COUNTIF(_row6, seven), COUNTIF(_col4, seven), COUNTIF(_sq22, seven)) = 1), "", seven)</f>
        <v>7</v>
      </c>
      <c r="H46" s="9">
        <f>IF(OR(G9 &gt;0, MAX(COUNTIF(_row6, seven), COUNTIF(_col5, seven), COUNTIF(_sq22, seven)) = 1), "", seven)</f>
        <v>7</v>
      </c>
      <c r="I46" s="10">
        <f>IF(OR(H9 &gt;0, MAX(COUNTIF(_row6, seven), COUNTIF(_col6, seven), COUNTIF(_sq22, seven)) = 1), "", seven)</f>
        <v>7</v>
      </c>
      <c r="J46" s="8">
        <f>IF(OR(I9 &gt;0, MAX(COUNTIF(_row6, seven), COUNTIF(_col7, seven), COUNTIF(_sq23, seven)) = 1), "", seven)</f>
        <v>7</v>
      </c>
      <c r="K46" s="9">
        <f>IF(OR(J9 &gt;0, MAX(COUNTIF(_row6, seven), COUNTIF(_col8, seven), COUNTIF(_sq23, seven)) = 1), "", seven)</f>
        <v>7</v>
      </c>
      <c r="L46" s="10">
        <f>IF(OR(K9 &gt;0, MAX(COUNTIF(_row6, seven), COUNTIF(_col9, seven), COUNTIF(_sq23, seven)) = 1), "", seven)</f>
        <v>7</v>
      </c>
      <c r="M46" s="6">
        <f t="shared" si="31"/>
        <v>9</v>
      </c>
      <c r="N46" s="44"/>
      <c r="O46" s="44">
        <v>6</v>
      </c>
      <c r="P46" s="8">
        <f>IF(OR(C9 &gt;0, MAX(COUNTIF(_row6, eight), COUNTIF(_col1, eight), COUNTIF(_sq21, eight)) = 1), "", eight)</f>
        <v>8</v>
      </c>
      <c r="Q46" s="9">
        <f>IF(OR(D9 &gt;0, MAX(COUNTIF(_row6, eight), COUNTIF(_col2, eight), COUNTIF(_sq21, eight)) = 1), "", eight)</f>
        <v>8</v>
      </c>
      <c r="R46" s="10">
        <f>IF(OR(E9 &gt;0, MAX(COUNTIF(_row6, eight), COUNTIF(_col3, eight), COUNTIF(_sq21, eight)) = 1), "", eight)</f>
        <v>8</v>
      </c>
      <c r="S46" s="8">
        <f>IF(OR(F9 &gt;0, MAX(COUNTIF(_row6, eight), COUNTIF(_col4, eight), COUNTIF(_sq22, eight)) = 1), "", eight)</f>
        <v>8</v>
      </c>
      <c r="T46" s="9">
        <f>IF(OR(G9 &gt;0, MAX(COUNTIF(_row6, eight), COUNTIF(_col5, eight), COUNTIF(_sq22, eight)) = 1), "", eight)</f>
        <v>8</v>
      </c>
      <c r="U46" s="10">
        <f>IF(OR(H9 &gt;0, MAX(COUNTIF(_row6, eight), COUNTIF(_col6, eight), COUNTIF(_sq22, eight)) = 1), "", eight)</f>
        <v>8</v>
      </c>
      <c r="V46" s="8">
        <f>IF(OR(I9 &gt;0, MAX(COUNTIF(_row6, eight), COUNTIF(_col7, eight), COUNTIF(_sq23, eight)) = 1), "", eight)</f>
        <v>8</v>
      </c>
      <c r="W46" s="9">
        <f>IF(OR(J9 &gt;0, MAX(COUNTIF(_row6, eight), COUNTIF(_col8, eight), COUNTIF(_sq23, eight)) = 1), "", eight)</f>
        <v>8</v>
      </c>
      <c r="X46" s="10">
        <f>IF(OR(K9 &gt;0, MAX(COUNTIF(_row6, eight), COUNTIF(_col9, eight), COUNTIF(_sq23, eight)) = 1), "", eight)</f>
        <v>8</v>
      </c>
      <c r="Y46" s="6">
        <f t="shared" si="32"/>
        <v>9</v>
      </c>
      <c r="Z46" s="44"/>
      <c r="AA46" s="44">
        <v>6</v>
      </c>
      <c r="AB46" s="8">
        <f>IF(OR(C9 &gt;0, MAX(COUNTIF(_row6, nine), COUNTIF(_col1, nine), COUNTIF(_sq21, nine)) = 1), "", nine)</f>
        <v>9</v>
      </c>
      <c r="AC46" s="9">
        <f>IF(OR(D9 &gt;0, MAX(COUNTIF(_row6, nine), COUNTIF(_col2, nine), COUNTIF(_sq21, nine)) = 1), "", nine)</f>
        <v>9</v>
      </c>
      <c r="AD46" s="10">
        <f>IF(OR(E9 &gt;0, MAX(COUNTIF(_row6, nine), COUNTIF(_col3, nine), COUNTIF(_sq21, nine)) = 1), "", nine)</f>
        <v>9</v>
      </c>
      <c r="AE46" s="8">
        <f>IF(OR(F9 &gt;0, MAX(COUNTIF(_row6, nine), COUNTIF(_col4, nine), COUNTIF(_sq22, nine)) = 1), "", nine)</f>
        <v>9</v>
      </c>
      <c r="AF46" s="9">
        <f>IF(OR(G9 &gt;0, MAX(COUNTIF(_row6, nine), COUNTIF(_col5, nine), COUNTIF(_sq22, nine)) = 1), "", nine)</f>
        <v>9</v>
      </c>
      <c r="AG46" s="10">
        <f>IF(OR(H9 &gt;0, MAX(COUNTIF(_row6, nine), COUNTIF(_col6, nine), COUNTIF(_sq22, nine)) = 1), "", nine)</f>
        <v>9</v>
      </c>
      <c r="AH46" s="8">
        <f>IF(OR(I9 &gt;0, MAX(COUNTIF(_row6, nine), COUNTIF(_col7, nine), COUNTIF(_sq23, nine)) = 1), "", nine)</f>
        <v>9</v>
      </c>
      <c r="AI46" s="9">
        <f>IF(OR(J9 &gt;0, MAX(COUNTIF(_row6, nine), COUNTIF(_col8, nine), COUNTIF(_sq23, nine)) = 1), "", nine)</f>
        <v>9</v>
      </c>
      <c r="AJ46" s="10">
        <f>IF(OR(K9 &gt;0, MAX(COUNTIF(_row6, nine), COUNTIF(_col9, nine), COUNTIF(_sq23, nine)) = 1), "", nine)</f>
        <v>9</v>
      </c>
      <c r="AK46" s="6">
        <f t="shared" si="33"/>
        <v>9</v>
      </c>
      <c r="AL46" s="45"/>
      <c r="AM46" s="26"/>
      <c r="AN46" s="161"/>
      <c r="AO46" s="35"/>
      <c r="AP46" s="36"/>
      <c r="AQ46" s="37"/>
      <c r="AR46" s="35"/>
      <c r="AS46" s="36"/>
      <c r="AT46" s="37"/>
      <c r="AU46" s="35"/>
      <c r="AV46" s="36"/>
      <c r="AW46" s="37"/>
      <c r="AX46" s="166"/>
      <c r="AY46" s="26"/>
    </row>
    <row r="47" spans="1:51" x14ac:dyDescent="0.2">
      <c r="A47" s="26"/>
      <c r="B47" s="46"/>
      <c r="C47" s="44">
        <v>7</v>
      </c>
      <c r="D47" s="2">
        <f>IF(OR(C10 &gt;0, MAX(COUNTIF(_row7, seven), COUNTIF(_col1, seven), COUNTIF(_sq31, seven)) = 1), "", seven)</f>
        <v>7</v>
      </c>
      <c r="E47" s="3">
        <f>IF(OR(D10 &gt;0, MAX(COUNTIF(_row7, seven), COUNTIF(_col2, seven), COUNTIF(_sq31, seven)) = 1), "", seven)</f>
        <v>7</v>
      </c>
      <c r="F47" s="4">
        <f>IF(OR(E10 &gt;0, MAX(COUNTIF(_row7, seven), COUNTIF(_col3, seven), COUNTIF(_sq31, seven)) = 1), "", seven)</f>
        <v>7</v>
      </c>
      <c r="G47" s="2">
        <f>IF(OR(F10 &gt;0, MAX(COUNTIF(_row7, seven), COUNTIF(_col4, seven), COUNTIF(_sq32, seven)) = 1), "", seven)</f>
        <v>7</v>
      </c>
      <c r="H47" s="3">
        <f>IF(OR(G10 &gt;0, MAX(COUNTIF(_row7, seven), COUNTIF(_col5, seven), COUNTIF(_sq32, seven)) = 1), "", seven)</f>
        <v>7</v>
      </c>
      <c r="I47" s="4">
        <f>IF(OR(H10 &gt;0, MAX(COUNTIF(_row7, seven), COUNTIF(_col6, seven), COUNTIF(_sq32, seven)) = 1), "", seven)</f>
        <v>7</v>
      </c>
      <c r="J47" s="2">
        <f>IF(OR(I10 &gt;0, MAX(COUNTIF(_row7, seven), COUNTIF(_col7, seven), COUNTIF(_sq33, seven)) = 1), "", seven)</f>
        <v>7</v>
      </c>
      <c r="K47" s="3">
        <f>IF(OR(J10 &gt;0, MAX(COUNTIF(_row7, seven), COUNTIF(_col8, seven), COUNTIF(_sq33, seven)) = 1), "", seven)</f>
        <v>7</v>
      </c>
      <c r="L47" s="4">
        <f>IF(OR(K10 &gt;0, MAX(COUNTIF(_row7, seven), COUNTIF(_col9, seven), COUNTIF(_sq33, seven)) = 1), "", seven)</f>
        <v>7</v>
      </c>
      <c r="M47" s="6">
        <f t="shared" si="31"/>
        <v>9</v>
      </c>
      <c r="N47" s="44"/>
      <c r="O47" s="44">
        <v>7</v>
      </c>
      <c r="P47" s="2">
        <f>IF(OR(C10 &gt;0, MAX(COUNTIF(_row7, eight), COUNTIF(_col1, eight), COUNTIF(_sq31, eight)) = 1), "", eight)</f>
        <v>8</v>
      </c>
      <c r="Q47" s="3">
        <f>IF(OR(D10 &gt;0, MAX(COUNTIF(_row7, eight), COUNTIF(_col2, eight), COUNTIF(_sq31, eight)) = 1), "", eight)</f>
        <v>8</v>
      </c>
      <c r="R47" s="4">
        <f>IF(OR(E10 &gt;0, MAX(COUNTIF(_row7, eight), COUNTIF(_col3, eight), COUNTIF(_sq31, eight)) = 1), "", eight)</f>
        <v>8</v>
      </c>
      <c r="S47" s="2">
        <f>IF(OR(F10 &gt;0, MAX(COUNTIF(_row7, eight), COUNTIF(_col4, eight), COUNTIF(_sq32, eight)) = 1), "", eight)</f>
        <v>8</v>
      </c>
      <c r="T47" s="3">
        <f>IF(OR(G10 &gt;0, MAX(COUNTIF(_row7, eight), COUNTIF(_col5, eight), COUNTIF(_sq32, eight)) = 1), "", eight)</f>
        <v>8</v>
      </c>
      <c r="U47" s="4">
        <f>IF(OR(H10 &gt;0, MAX(COUNTIF(_row7, eight), COUNTIF(_col6, eight), COUNTIF(_sq32, eight)) = 1), "", eight)</f>
        <v>8</v>
      </c>
      <c r="V47" s="2">
        <f>IF(OR(I10 &gt;0, MAX(COUNTIF(_row7, eight), COUNTIF(_col7, eight), COUNTIF(_sq33, eight)) = 1), "", eight)</f>
        <v>8</v>
      </c>
      <c r="W47" s="3">
        <f>IF(OR(J10 &gt;0, MAX(COUNTIF(_row7, eight), COUNTIF(_col8, eight), COUNTIF(_sq33, eight)) = 1), "", eight)</f>
        <v>8</v>
      </c>
      <c r="X47" s="4">
        <f>IF(OR(K10 &gt;0, MAX(COUNTIF(_row7, eight), COUNTIF(_col9, eight), COUNTIF(_sq33, eight)) = 1), "", eight)</f>
        <v>8</v>
      </c>
      <c r="Y47" s="6">
        <f t="shared" si="32"/>
        <v>9</v>
      </c>
      <c r="Z47" s="44"/>
      <c r="AA47" s="44">
        <v>7</v>
      </c>
      <c r="AB47" s="2">
        <f>IF(OR(C10 &gt;0, MAX(COUNTIF(_row7, nine), COUNTIF(_col1, nine), COUNTIF(_sq31, nine)) = 1), "", nine)</f>
        <v>9</v>
      </c>
      <c r="AC47" s="3">
        <f>IF(OR(D10 &gt;0, MAX(COUNTIF(_row7, nine), COUNTIF(_col2, nine), COUNTIF(_sq31, nine)) = 1), "", nine)</f>
        <v>9</v>
      </c>
      <c r="AD47" s="4">
        <f>IF(OR(E10 &gt;0, MAX(COUNTIF(_row7, nine), COUNTIF(_col3, nine), COUNTIF(_sq31, nine)) = 1), "", nine)</f>
        <v>9</v>
      </c>
      <c r="AE47" s="2">
        <f>IF(OR(F10 &gt;0, MAX(COUNTIF(_row7, nine), COUNTIF(_col4, nine), COUNTIF(_sq32, nine)) = 1), "", nine)</f>
        <v>9</v>
      </c>
      <c r="AF47" s="3">
        <f>IF(OR(G10 &gt;0, MAX(COUNTIF(_row7, nine), COUNTIF(_col5, nine), COUNTIF(_sq32, nine)) = 1), "", nine)</f>
        <v>9</v>
      </c>
      <c r="AG47" s="4">
        <f>IF(OR(H10 &gt;0, MAX(COUNTIF(_row7, nine), COUNTIF(_col6, nine), COUNTIF(_sq32, nine)) = 1), "", nine)</f>
        <v>9</v>
      </c>
      <c r="AH47" s="2">
        <f>IF(OR(I10 &gt;0, MAX(COUNTIF(_row7, nine), COUNTIF(_col7, nine), COUNTIF(_sq33, nine)) = 1), "", nine)</f>
        <v>9</v>
      </c>
      <c r="AI47" s="3">
        <f>IF(OR(J10 &gt;0, MAX(COUNTIF(_row7, nine), COUNTIF(_col8, nine), COUNTIF(_sq33, nine)) = 1), "", nine)</f>
        <v>9</v>
      </c>
      <c r="AJ47" s="4">
        <f>IF(OR(K10 &gt;0, MAX(COUNTIF(_row7, nine), COUNTIF(_col9, nine), COUNTIF(_sq33, nine)) = 1), "", nine)</f>
        <v>9</v>
      </c>
      <c r="AK47" s="6">
        <f t="shared" si="33"/>
        <v>9</v>
      </c>
      <c r="AL47" s="45"/>
      <c r="AM47" s="26"/>
      <c r="AN47" s="161"/>
      <c r="AO47" s="29"/>
      <c r="AP47" s="30"/>
      <c r="AQ47" s="31"/>
      <c r="AR47" s="29"/>
      <c r="AS47" s="30"/>
      <c r="AT47" s="31"/>
      <c r="AU47" s="29"/>
      <c r="AV47" s="30"/>
      <c r="AW47" s="31"/>
      <c r="AX47" s="166"/>
      <c r="AY47" s="26"/>
    </row>
    <row r="48" spans="1:51" x14ac:dyDescent="0.2">
      <c r="A48" s="26"/>
      <c r="B48" s="46"/>
      <c r="C48" s="44">
        <v>8</v>
      </c>
      <c r="D48" s="5">
        <f>IF(OR(C11 &gt;0, MAX(COUNTIF(_row8, seven), COUNTIF(_col1, seven), COUNTIF(_sq31, seven)) = 1), "", seven)</f>
        <v>7</v>
      </c>
      <c r="E48" s="6">
        <f>IF(OR(D11 &gt;0, MAX(COUNTIF(_row8, seven), COUNTIF(_col2, seven), COUNTIF(_sq31, seven)) = 1), "", seven)</f>
        <v>7</v>
      </c>
      <c r="F48" s="7">
        <f>IF(OR(E11 &gt;0, MAX(COUNTIF(_row8, seven), COUNTIF(_col3, seven), COUNTIF(_sq31, seven)) = 1), "", seven)</f>
        <v>7</v>
      </c>
      <c r="G48" s="5">
        <f>IF(OR(F11 &gt;0, MAX(COUNTIF(_row8, seven), COUNTIF(_col4, seven), COUNTIF(_sq32, seven)) = 1), "", seven)</f>
        <v>7</v>
      </c>
      <c r="H48" s="6">
        <f>IF(OR(G11 &gt;0, MAX(COUNTIF(_row8, seven), COUNTIF(_col5, seven), COUNTIF(_sq32, seven)) = 1), "", seven)</f>
        <v>7</v>
      </c>
      <c r="I48" s="7">
        <f>IF(OR(H11 &gt;0, MAX(COUNTIF(_row8, seven), COUNTIF(_col6, seven), COUNTIF(_sq32, seven)) = 1), "", seven)</f>
        <v>7</v>
      </c>
      <c r="J48" s="5">
        <f>IF(OR(I11 &gt;0, MAX(COUNTIF(_row8, seven), COUNTIF(_col7, seven), COUNTIF(_sq33, seven)) = 1), "", seven)</f>
        <v>7</v>
      </c>
      <c r="K48" s="6">
        <f>IF(OR(J11 &gt;0, MAX(COUNTIF(_row8, seven), COUNTIF(_col8, seven), COUNTIF(_sq33, seven)) = 1), "", seven)</f>
        <v>7</v>
      </c>
      <c r="L48" s="7">
        <f>IF(OR(K11 &gt;0, MAX(COUNTIF(_row8, seven), COUNTIF(_col9, seven), COUNTIF(_sq33, seven)) = 1), "", seven)</f>
        <v>7</v>
      </c>
      <c r="M48" s="6">
        <f t="shared" si="31"/>
        <v>9</v>
      </c>
      <c r="N48" s="44"/>
      <c r="O48" s="44">
        <v>8</v>
      </c>
      <c r="P48" s="5">
        <f>IF(OR(C11 &gt;0, MAX(COUNTIF(_row8, eight), COUNTIF(_col1, eight), COUNTIF(_sq31, eight)) = 1), "", eight)</f>
        <v>8</v>
      </c>
      <c r="Q48" s="6">
        <f>IF(OR(D11 &gt;0, MAX(COUNTIF(_row8, eight), COUNTIF(_col2, eight), COUNTIF(_sq31, eight)) = 1), "", eight)</f>
        <v>8</v>
      </c>
      <c r="R48" s="7">
        <f>IF(OR(E11 &gt;0, MAX(COUNTIF(_row8, eight), COUNTIF(_col3, eight), COUNTIF(_sq31, eight)) = 1), "", eight)</f>
        <v>8</v>
      </c>
      <c r="S48" s="5">
        <f>IF(OR(F11 &gt;0, MAX(COUNTIF(_row8, eight), COUNTIF(_col4, eight), COUNTIF(_sq32, eight)) = 1), "", eight)</f>
        <v>8</v>
      </c>
      <c r="T48" s="6">
        <f>IF(OR(G11 &gt;0, MAX(COUNTIF(_row8, eight), COUNTIF(_col5, eight), COUNTIF(_sq32, eight)) = 1), "", eight)</f>
        <v>8</v>
      </c>
      <c r="U48" s="7">
        <f>IF(OR(H11 &gt;0, MAX(COUNTIF(_row8, eight), COUNTIF(_col6, eight), COUNTIF(_sq32, eight)) = 1), "", eight)</f>
        <v>8</v>
      </c>
      <c r="V48" s="5">
        <f>IF(OR(I11 &gt;0, MAX(COUNTIF(_row8, eight), COUNTIF(_col7, eight), COUNTIF(_sq33, eight)) = 1), "", eight)</f>
        <v>8</v>
      </c>
      <c r="W48" s="6">
        <f>IF(OR(J11 &gt;0, MAX(COUNTIF(_row8, eight), COUNTIF(_col8, eight), COUNTIF(_sq33, eight)) = 1), "", eight)</f>
        <v>8</v>
      </c>
      <c r="X48" s="7">
        <f>IF(OR(K11 &gt;0, MAX(COUNTIF(_row8, eight), COUNTIF(_col9, eight), COUNTIF(_sq33, eight)) = 1), "", eight)</f>
        <v>8</v>
      </c>
      <c r="Y48" s="6">
        <f t="shared" si="32"/>
        <v>9</v>
      </c>
      <c r="Z48" s="44"/>
      <c r="AA48" s="44">
        <v>8</v>
      </c>
      <c r="AB48" s="5">
        <f>IF(OR(C11 &gt;0, MAX(COUNTIF(_row8, nine), COUNTIF(_col1, nine), COUNTIF(_sq31, nine)) = 1), "", nine)</f>
        <v>9</v>
      </c>
      <c r="AC48" s="6">
        <f>IF(OR(D11 &gt;0, MAX(COUNTIF(_row8, nine), COUNTIF(_col2, nine), COUNTIF(_sq31, nine)) = 1), "", nine)</f>
        <v>9</v>
      </c>
      <c r="AD48" s="7">
        <f>IF(OR(E11 &gt;0, MAX(COUNTIF(_row8, nine), COUNTIF(_col3, nine), COUNTIF(_sq31, nine)) = 1), "", nine)</f>
        <v>9</v>
      </c>
      <c r="AE48" s="5">
        <f>IF(OR(F11 &gt;0, MAX(COUNTIF(_row8, nine), COUNTIF(_col4, nine), COUNTIF(_sq32, nine)) = 1), "", nine)</f>
        <v>9</v>
      </c>
      <c r="AF48" s="6">
        <f>IF(OR(G11 &gt;0, MAX(COUNTIF(_row8, nine), COUNTIF(_col5, nine), COUNTIF(_sq32, nine)) = 1), "", nine)</f>
        <v>9</v>
      </c>
      <c r="AG48" s="7">
        <f>IF(OR(H11 &gt;0, MAX(COUNTIF(_row8, nine), COUNTIF(_col6, nine), COUNTIF(_sq32, nine)) = 1), "", nine)</f>
        <v>9</v>
      </c>
      <c r="AH48" s="5">
        <f>IF(OR(I11 &gt;0, MAX(COUNTIF(_row8, nine), COUNTIF(_col7, nine), COUNTIF(_sq33, nine)) = 1), "", nine)</f>
        <v>9</v>
      </c>
      <c r="AI48" s="6">
        <f>IF(OR(J11 &gt;0, MAX(COUNTIF(_row8, nine), COUNTIF(_col8, nine), COUNTIF(_sq33, nine)) = 1), "", nine)</f>
        <v>9</v>
      </c>
      <c r="AJ48" s="7">
        <f>IF(OR(K11 &gt;0, MAX(COUNTIF(_row8, nine), COUNTIF(_col9, nine), COUNTIF(_sq33, nine)) = 1), "", nine)</f>
        <v>9</v>
      </c>
      <c r="AK48" s="6">
        <f t="shared" si="33"/>
        <v>9</v>
      </c>
      <c r="AL48" s="45"/>
      <c r="AM48" s="26"/>
      <c r="AN48" s="161"/>
      <c r="AO48" s="32"/>
      <c r="AP48" s="33"/>
      <c r="AQ48" s="34"/>
      <c r="AR48" s="32"/>
      <c r="AS48" s="33"/>
      <c r="AT48" s="34"/>
      <c r="AU48" s="32"/>
      <c r="AV48" s="33"/>
      <c r="AW48" s="34"/>
      <c r="AX48" s="166"/>
      <c r="AY48" s="26"/>
    </row>
    <row r="49" spans="1:51" ht="13.5" thickBot="1" x14ac:dyDescent="0.25">
      <c r="A49" s="26"/>
      <c r="B49" s="46"/>
      <c r="C49" s="44">
        <v>9</v>
      </c>
      <c r="D49" s="8">
        <f>IF(OR(C12 &gt;0, MAX(COUNTIF(_row9, seven), COUNTIF(_col1, seven), COUNTIF(_sq31, seven)) = 1), "", seven)</f>
        <v>7</v>
      </c>
      <c r="E49" s="9">
        <f>IF(OR(D12 &gt;0, MAX(COUNTIF(_row9, seven), COUNTIF(_col2, seven), COUNTIF(_sq31, seven)) = 1), "", seven)</f>
        <v>7</v>
      </c>
      <c r="F49" s="10">
        <f>IF(OR(E12 &gt;0, MAX(COUNTIF(_row9, seven), COUNTIF(_col3, seven), COUNTIF(_sq31, seven)) = 1), "", seven)</f>
        <v>7</v>
      </c>
      <c r="G49" s="8">
        <f>IF(OR(F12 &gt;0, MAX(COUNTIF(_row9, seven), COUNTIF(_col4, seven), COUNTIF(_sq32, seven)) = 1), "", seven)</f>
        <v>7</v>
      </c>
      <c r="H49" s="9">
        <f>IF(OR(G12 &gt;0, MAX(COUNTIF(_row9, seven), COUNTIF(_col5, seven), COUNTIF(_sq32, seven)) = 1), "", seven)</f>
        <v>7</v>
      </c>
      <c r="I49" s="10">
        <f>IF(OR(H12 &gt;0, MAX(COUNTIF(_row9, seven), COUNTIF(_col6, seven), COUNTIF(_sq32, seven)) = 1), "", seven)</f>
        <v>7</v>
      </c>
      <c r="J49" s="8">
        <f>IF(OR(I12 &gt;0, MAX(COUNTIF(_row9, seven), COUNTIF(_col7, seven), COUNTIF(_sq33, seven)) = 1), "", seven)</f>
        <v>7</v>
      </c>
      <c r="K49" s="9">
        <f>IF(OR(J12 &gt;0, MAX(COUNTIF(_row9, seven), COUNTIF(_col8, seven), COUNTIF(_sq33, seven)) = 1), "", seven)</f>
        <v>7</v>
      </c>
      <c r="L49" s="10">
        <f>IF(OR(K12 &gt;0, MAX(COUNTIF(_row9, seven), COUNTIF(_col9, seven), COUNTIF(_sq33, seven)) = 1), "", seven)</f>
        <v>7</v>
      </c>
      <c r="M49" s="6">
        <f t="shared" si="31"/>
        <v>9</v>
      </c>
      <c r="N49" s="44"/>
      <c r="O49" s="44">
        <v>9</v>
      </c>
      <c r="P49" s="8">
        <f>IF(OR(C12 &gt;0, MAX(COUNTIF(_row9, eight), COUNTIF(_col1, eight), COUNTIF(_sq31, eight)) = 1), "", eight)</f>
        <v>8</v>
      </c>
      <c r="Q49" s="9">
        <f>IF(OR(D12 &gt;0, MAX(COUNTIF(_row9, eight), COUNTIF(_col2, eight), COUNTIF(_sq31, eight)) = 1), "", eight)</f>
        <v>8</v>
      </c>
      <c r="R49" s="10">
        <f>IF(OR(E12 &gt;0, MAX(COUNTIF(_row9, eight), COUNTIF(_col3, eight), COUNTIF(_sq31, eight)) = 1), "", eight)</f>
        <v>8</v>
      </c>
      <c r="S49" s="8">
        <f>IF(OR(F12 &gt;0, MAX(COUNTIF(_row9, eight), COUNTIF(_col4, eight), COUNTIF(_sq32, eight)) = 1), "", eight)</f>
        <v>8</v>
      </c>
      <c r="T49" s="9">
        <f>IF(OR(G12 &gt;0, MAX(COUNTIF(_row9, eight), COUNTIF(_col5, eight), COUNTIF(_sq32, eight)) = 1), "", eight)</f>
        <v>8</v>
      </c>
      <c r="U49" s="10">
        <f>IF(OR(H12 &gt;0, MAX(COUNTIF(_row9, eight), COUNTIF(_col6, eight), COUNTIF(_sq32, eight)) = 1), "", eight)</f>
        <v>8</v>
      </c>
      <c r="V49" s="8">
        <f>IF(OR(I12 &gt;0, MAX(COUNTIF(_row9, eight), COUNTIF(_col7, eight), COUNTIF(_sq33, eight)) = 1), "", eight)</f>
        <v>8</v>
      </c>
      <c r="W49" s="9">
        <f>IF(OR(J12 &gt;0, MAX(COUNTIF(_row9, eight), COUNTIF(_col8, eight), COUNTIF(_sq33, eight)) = 1), "", eight)</f>
        <v>8</v>
      </c>
      <c r="X49" s="10">
        <f>IF(OR(K12 &gt;0, MAX(COUNTIF(_row9, eight), COUNTIF(_col9, eight), COUNTIF(_sq33, eight)) = 1), "", eight)</f>
        <v>8</v>
      </c>
      <c r="Y49" s="6">
        <f t="shared" si="32"/>
        <v>9</v>
      </c>
      <c r="Z49" s="44"/>
      <c r="AA49" s="44">
        <v>9</v>
      </c>
      <c r="AB49" s="8">
        <f>IF(OR(C12 &gt;0, MAX(COUNTIF(_row9, nine), COUNTIF(_col1, nine), COUNTIF(_sq31, nine)) = 1), "", nine)</f>
        <v>9</v>
      </c>
      <c r="AC49" s="9">
        <f>IF(OR(D12 &gt;0, MAX(COUNTIF(_row9, nine), COUNTIF(_col2, nine), COUNTIF(_sq31, nine)) = 1), "", nine)</f>
        <v>9</v>
      </c>
      <c r="AD49" s="10">
        <f>IF(OR(E12 &gt;0, MAX(COUNTIF(_row9, nine), COUNTIF(_col3, nine), COUNTIF(_sq31, nine)) = 1), "", nine)</f>
        <v>9</v>
      </c>
      <c r="AE49" s="8">
        <f>IF(OR(F12 &gt;0, MAX(COUNTIF(_row9, nine), COUNTIF(_col4, nine), COUNTIF(_sq32, nine)) = 1), "", nine)</f>
        <v>9</v>
      </c>
      <c r="AF49" s="9">
        <f>IF(OR(G12 &gt;0, MAX(COUNTIF(_row9, nine), COUNTIF(_col5, nine), COUNTIF(_sq32, nine)) = 1), "", nine)</f>
        <v>9</v>
      </c>
      <c r="AG49" s="10">
        <f>IF(OR(H12 &gt;0, MAX(COUNTIF(_row9, nine), COUNTIF(_col6, nine), COUNTIF(_sq32, nine)) = 1), "", nine)</f>
        <v>9</v>
      </c>
      <c r="AH49" s="8">
        <f>IF(OR(I12 &gt;0, MAX(COUNTIF(_row9, nine), COUNTIF(_col7, nine), COUNTIF(_sq33, nine)) = 1), "", nine)</f>
        <v>9</v>
      </c>
      <c r="AI49" s="9">
        <f>IF(OR(J12 &gt;0, MAX(COUNTIF(_row9, nine), COUNTIF(_col8, nine), COUNTIF(_sq33, nine)) = 1), "", nine)</f>
        <v>9</v>
      </c>
      <c r="AJ49" s="10">
        <f>IF(OR(K12 &gt;0, MAX(COUNTIF(_row9, nine), COUNTIF(_col9, nine), COUNTIF(_sq33, nine)) = 1), "", nine)</f>
        <v>9</v>
      </c>
      <c r="AK49" s="6">
        <f t="shared" si="33"/>
        <v>9</v>
      </c>
      <c r="AL49" s="45"/>
      <c r="AM49" s="26"/>
      <c r="AN49" s="161"/>
      <c r="AO49" s="35"/>
      <c r="AP49" s="36"/>
      <c r="AQ49" s="37"/>
      <c r="AR49" s="35"/>
      <c r="AS49" s="36"/>
      <c r="AT49" s="37"/>
      <c r="AU49" s="35"/>
      <c r="AV49" s="36"/>
      <c r="AW49" s="37"/>
      <c r="AX49" s="166"/>
      <c r="AY49" s="26"/>
    </row>
    <row r="50" spans="1:51" x14ac:dyDescent="0.2">
      <c r="A50" s="26"/>
      <c r="B50" s="46"/>
      <c r="C50" s="44"/>
      <c r="D50" s="6">
        <f t="shared" ref="D50:L50" si="34">SUM(D41:D49)/seven</f>
        <v>9</v>
      </c>
      <c r="E50" s="6">
        <f t="shared" si="34"/>
        <v>9</v>
      </c>
      <c r="F50" s="6">
        <f t="shared" si="34"/>
        <v>9</v>
      </c>
      <c r="G50" s="6">
        <f t="shared" si="34"/>
        <v>9</v>
      </c>
      <c r="H50" s="6">
        <f t="shared" si="34"/>
        <v>9</v>
      </c>
      <c r="I50" s="6">
        <f t="shared" si="34"/>
        <v>9</v>
      </c>
      <c r="J50" s="6">
        <f t="shared" si="34"/>
        <v>9</v>
      </c>
      <c r="K50" s="6">
        <f t="shared" si="34"/>
        <v>9</v>
      </c>
      <c r="L50" s="6">
        <f t="shared" si="34"/>
        <v>9</v>
      </c>
      <c r="M50" s="44"/>
      <c r="N50" s="44"/>
      <c r="O50" s="44"/>
      <c r="P50" s="6">
        <f t="shared" ref="P50:X50" si="35">SUM(P41:P49)/eight</f>
        <v>9</v>
      </c>
      <c r="Q50" s="6">
        <f t="shared" si="35"/>
        <v>9</v>
      </c>
      <c r="R50" s="6">
        <f t="shared" si="35"/>
        <v>9</v>
      </c>
      <c r="S50" s="6">
        <f t="shared" si="35"/>
        <v>9</v>
      </c>
      <c r="T50" s="6">
        <f t="shared" si="35"/>
        <v>9</v>
      </c>
      <c r="U50" s="6">
        <f t="shared" si="35"/>
        <v>9</v>
      </c>
      <c r="V50" s="6">
        <f t="shared" si="35"/>
        <v>9</v>
      </c>
      <c r="W50" s="6">
        <f t="shared" si="35"/>
        <v>9</v>
      </c>
      <c r="X50" s="6">
        <f t="shared" si="35"/>
        <v>9</v>
      </c>
      <c r="Y50" s="44"/>
      <c r="Z50" s="44"/>
      <c r="AA50" s="44"/>
      <c r="AB50" s="6">
        <f t="shared" ref="AB50:AJ50" si="36">SUM(AB41:AB49)/nine</f>
        <v>9</v>
      </c>
      <c r="AC50" s="6">
        <f t="shared" si="36"/>
        <v>9</v>
      </c>
      <c r="AD50" s="6">
        <f t="shared" si="36"/>
        <v>9</v>
      </c>
      <c r="AE50" s="6">
        <f t="shared" si="36"/>
        <v>9</v>
      </c>
      <c r="AF50" s="6">
        <f t="shared" si="36"/>
        <v>9</v>
      </c>
      <c r="AG50" s="6">
        <f t="shared" si="36"/>
        <v>9</v>
      </c>
      <c r="AH50" s="6">
        <f t="shared" si="36"/>
        <v>9</v>
      </c>
      <c r="AI50" s="6">
        <f t="shared" si="36"/>
        <v>9</v>
      </c>
      <c r="AJ50" s="6">
        <f t="shared" si="36"/>
        <v>9</v>
      </c>
      <c r="AK50" s="44"/>
      <c r="AL50" s="45"/>
      <c r="AM50" s="26"/>
      <c r="AN50" s="161"/>
      <c r="AO50" s="165"/>
      <c r="AP50" s="165"/>
      <c r="AQ50" s="165"/>
      <c r="AR50" s="165"/>
      <c r="AS50" s="165"/>
      <c r="AT50" s="165"/>
      <c r="AU50" s="165"/>
      <c r="AV50" s="165"/>
      <c r="AW50" s="165"/>
      <c r="AX50" s="166"/>
      <c r="AY50" s="26"/>
    </row>
    <row r="51" spans="1:51" x14ac:dyDescent="0.2">
      <c r="A51" s="26"/>
      <c r="B51" s="47"/>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9"/>
      <c r="AM51" s="26"/>
      <c r="AN51" s="162"/>
      <c r="AO51" s="168"/>
      <c r="AP51" s="168"/>
      <c r="AQ51" s="168"/>
      <c r="AR51" s="168"/>
      <c r="AS51" s="168"/>
      <c r="AT51" s="168"/>
      <c r="AU51" s="168"/>
      <c r="AV51" s="168"/>
      <c r="AW51" s="168"/>
      <c r="AX51" s="167"/>
      <c r="AY51" s="26"/>
    </row>
    <row r="52" spans="1:51" x14ac:dyDescent="0.2">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row>
  </sheetData>
  <phoneticPr fontId="1" type="noConversion"/>
  <conditionalFormatting sqref="AO29:AW37 AO6:AW14 AO41:AW49 C4:K12 AO17:AW25">
    <cfRule type="expression" dxfId="108" priority="1" stopIfTrue="1">
      <formula>#REF!=1</formula>
    </cfRule>
  </conditionalFormatting>
  <conditionalFormatting sqref="M17:M25 D26:L26 P26:X26 Y17:Y25 AB26:AJ26 AK17:AK25 D38:L38 M29:M37 P38:X38 Y29:Y37 AB38:AJ38 AK29:AK37 D50:L50 M41:M49 P50:X50 Y41:Y49 AB50:AJ50 AK41:AK49">
    <cfRule type="cellIs" dxfId="107" priority="2" stopIfTrue="1" operator="equal">
      <formula>1</formula>
    </cfRule>
    <cfRule type="cellIs" dxfId="106" priority="3" stopIfTrue="1" operator="equal">
      <formula>2</formula>
    </cfRule>
  </conditionalFormatting>
  <conditionalFormatting sqref="D17:F19">
    <cfRule type="expression" dxfId="105" priority="4" stopIfTrue="1">
      <formula>SUM($D$17:$F$19)=1</formula>
    </cfRule>
  </conditionalFormatting>
  <conditionalFormatting sqref="G17:I19">
    <cfRule type="expression" dxfId="104" priority="5" stopIfTrue="1">
      <formula>SUM($G$17:$I$19)=one</formula>
    </cfRule>
  </conditionalFormatting>
  <conditionalFormatting sqref="J17:L19">
    <cfRule type="expression" dxfId="103" priority="6" stopIfTrue="1">
      <formula>SUM($J$17:$L$19)=one</formula>
    </cfRule>
  </conditionalFormatting>
  <conditionalFormatting sqref="D20:F22">
    <cfRule type="expression" dxfId="102" priority="7" stopIfTrue="1">
      <formula>SUM($D$20:$F$22)=one</formula>
    </cfRule>
  </conditionalFormatting>
  <conditionalFormatting sqref="G20:I22">
    <cfRule type="expression" dxfId="101" priority="8" stopIfTrue="1">
      <formula>SUM($G$20:$I$22)=one</formula>
    </cfRule>
  </conditionalFormatting>
  <conditionalFormatting sqref="J20:L22">
    <cfRule type="expression" dxfId="100" priority="9" stopIfTrue="1">
      <formula>SUM($J$20:$L$22)=one</formula>
    </cfRule>
  </conditionalFormatting>
  <conditionalFormatting sqref="D23:F25">
    <cfRule type="expression" dxfId="99" priority="10" stopIfTrue="1">
      <formula>SUM($D$23:$F$25)=one</formula>
    </cfRule>
  </conditionalFormatting>
  <conditionalFormatting sqref="G23:I25">
    <cfRule type="expression" dxfId="98" priority="11" stopIfTrue="1">
      <formula>SUM($G$23:$I$25)=one</formula>
    </cfRule>
  </conditionalFormatting>
  <conditionalFormatting sqref="J23:L25">
    <cfRule type="expression" dxfId="97" priority="12" stopIfTrue="1">
      <formula>SUM($J$23:$L$25)=one</formula>
    </cfRule>
  </conditionalFormatting>
  <conditionalFormatting sqref="P17:R19">
    <cfRule type="expression" dxfId="96" priority="13" stopIfTrue="1">
      <formula>SUM($P$17:$R$19)=two</formula>
    </cfRule>
  </conditionalFormatting>
  <conditionalFormatting sqref="S17:T19 U18:U19">
    <cfRule type="expression" dxfId="95" priority="14" stopIfTrue="1">
      <formula>SUM($S$17:$U$19)=two</formula>
    </cfRule>
  </conditionalFormatting>
  <conditionalFormatting sqref="W19 X17:X19 W17 V18:V19">
    <cfRule type="expression" dxfId="94" priority="15" stopIfTrue="1">
      <formula>SUM($V$17:$X$19)=two</formula>
    </cfRule>
  </conditionalFormatting>
  <conditionalFormatting sqref="P20:R22">
    <cfRule type="expression" dxfId="93" priority="16" stopIfTrue="1">
      <formula>SUM($P$20:$R$22)=two</formula>
    </cfRule>
  </conditionalFormatting>
  <conditionalFormatting sqref="S20:U22">
    <cfRule type="expression" dxfId="92" priority="17" stopIfTrue="1">
      <formula>SUM($S$20:$U$22)=two</formula>
    </cfRule>
  </conditionalFormatting>
  <conditionalFormatting sqref="V20:X22">
    <cfRule type="expression" dxfId="91" priority="18" stopIfTrue="1">
      <formula>SUM($V$20:$X$22)=two</formula>
    </cfRule>
  </conditionalFormatting>
  <conditionalFormatting sqref="P23:R25">
    <cfRule type="expression" dxfId="90" priority="19" stopIfTrue="1">
      <formula>SUM($P$23:$R$25)=two</formula>
    </cfRule>
  </conditionalFormatting>
  <conditionalFormatting sqref="S23:U25">
    <cfRule type="expression" dxfId="89" priority="20" stopIfTrue="1">
      <formula>SUM($S$23:$U$25)=two</formula>
    </cfRule>
  </conditionalFormatting>
  <conditionalFormatting sqref="V23:X25">
    <cfRule type="expression" dxfId="88" priority="21" stopIfTrue="1">
      <formula>SUM($V$23:$X$25)=two</formula>
    </cfRule>
  </conditionalFormatting>
  <conditionalFormatting sqref="AB17:AD19">
    <cfRule type="expression" dxfId="87" priority="22" stopIfTrue="1">
      <formula>SUM($AB$17:$AD$19)=three</formula>
    </cfRule>
  </conditionalFormatting>
  <conditionalFormatting sqref="AE17:AG19">
    <cfRule type="expression" dxfId="86" priority="23" stopIfTrue="1">
      <formula>SUM($AE$17:$AG$19)=three</formula>
    </cfRule>
  </conditionalFormatting>
  <conditionalFormatting sqref="AH17:AJ19">
    <cfRule type="expression" dxfId="85" priority="24" stopIfTrue="1">
      <formula>SUM($AH$17:$AJ$19)=three</formula>
    </cfRule>
  </conditionalFormatting>
  <conditionalFormatting sqref="AB20:AD22">
    <cfRule type="expression" dxfId="84" priority="25" stopIfTrue="1">
      <formula>SUM($AB$20:$AD$22)=three</formula>
    </cfRule>
  </conditionalFormatting>
  <conditionalFormatting sqref="AE20:AG22">
    <cfRule type="expression" dxfId="83" priority="26" stopIfTrue="1">
      <formula>SUM($AE$20:$AG$22)=three</formula>
    </cfRule>
  </conditionalFormatting>
  <conditionalFormatting sqref="AH20:AJ22">
    <cfRule type="expression" dxfId="82" priority="27" stopIfTrue="1">
      <formula>SUM($AH$20:$AJ$22)=three</formula>
    </cfRule>
  </conditionalFormatting>
  <conditionalFormatting sqref="AB23:AD25">
    <cfRule type="expression" dxfId="81" priority="28" stopIfTrue="1">
      <formula>SUM($AB$23:$AD$25)=three</formula>
    </cfRule>
  </conditionalFormatting>
  <conditionalFormatting sqref="AE23:AG25">
    <cfRule type="expression" dxfId="80" priority="29" stopIfTrue="1">
      <formula>SUM($AE$23:$AG$25)=three</formula>
    </cfRule>
  </conditionalFormatting>
  <conditionalFormatting sqref="AH23:AJ25">
    <cfRule type="expression" dxfId="79" priority="30" stopIfTrue="1">
      <formula>SUM($AH$23:$AJ$25)=three</formula>
    </cfRule>
  </conditionalFormatting>
  <conditionalFormatting sqref="D29:F31">
    <cfRule type="expression" dxfId="78" priority="31" stopIfTrue="1">
      <formula>SUM($D$29:$F$31)=four</formula>
    </cfRule>
  </conditionalFormatting>
  <conditionalFormatting sqref="G29:I31">
    <cfRule type="expression" dxfId="77" priority="32" stopIfTrue="1">
      <formula>SUM($G$29:$I$31)=four</formula>
    </cfRule>
  </conditionalFormatting>
  <conditionalFormatting sqref="J29:L31">
    <cfRule type="expression" dxfId="76" priority="33" stopIfTrue="1">
      <formula>SUM($J$29:$L$31)=four</formula>
    </cfRule>
  </conditionalFormatting>
  <conditionalFormatting sqref="D32:F34">
    <cfRule type="expression" dxfId="75" priority="34" stopIfTrue="1">
      <formula>SUM($D$32:$F$34)=four</formula>
    </cfRule>
  </conditionalFormatting>
  <conditionalFormatting sqref="G32:I34">
    <cfRule type="expression" dxfId="74" priority="35" stopIfTrue="1">
      <formula>SUM($G$32:$I$34)=four</formula>
    </cfRule>
  </conditionalFormatting>
  <conditionalFormatting sqref="J32:L34">
    <cfRule type="expression" dxfId="73" priority="36" stopIfTrue="1">
      <formula>SUM($J$32:$L$34)=four</formula>
    </cfRule>
  </conditionalFormatting>
  <conditionalFormatting sqref="D35:F37">
    <cfRule type="expression" dxfId="72" priority="37" stopIfTrue="1">
      <formula>SUM($D$35:$F$37)=four</formula>
    </cfRule>
  </conditionalFormatting>
  <conditionalFormatting sqref="G35:I37">
    <cfRule type="expression" dxfId="71" priority="38" stopIfTrue="1">
      <formula>SUM($G$35:$I$37)=four</formula>
    </cfRule>
  </conditionalFormatting>
  <conditionalFormatting sqref="J35:L37">
    <cfRule type="expression" dxfId="70" priority="39" stopIfTrue="1">
      <formula>SUM($J$35:$L$37)=four</formula>
    </cfRule>
  </conditionalFormatting>
  <conditionalFormatting sqref="P29:R31">
    <cfRule type="expression" dxfId="69" priority="40" stopIfTrue="1">
      <formula>SUM($P$29:$R$31)=five</formula>
    </cfRule>
  </conditionalFormatting>
  <conditionalFormatting sqref="S29:U31">
    <cfRule type="expression" dxfId="68" priority="41" stopIfTrue="1">
      <formula>SUM($S$29:$U$31)=five</formula>
    </cfRule>
  </conditionalFormatting>
  <conditionalFormatting sqref="V29:X31">
    <cfRule type="expression" dxfId="67" priority="42" stopIfTrue="1">
      <formula>SUM($V$29:$X$31)=five</formula>
    </cfRule>
  </conditionalFormatting>
  <conditionalFormatting sqref="P32:R34">
    <cfRule type="expression" dxfId="66" priority="43" stopIfTrue="1">
      <formula>SUM($P$32:$R$34)=five</formula>
    </cfRule>
  </conditionalFormatting>
  <conditionalFormatting sqref="S32:U34">
    <cfRule type="expression" dxfId="65" priority="44" stopIfTrue="1">
      <formula>SUM($S$32:$U$34)=five</formula>
    </cfRule>
  </conditionalFormatting>
  <conditionalFormatting sqref="V32:X34">
    <cfRule type="expression" dxfId="64" priority="45" stopIfTrue="1">
      <formula>SUM($V$32:$X$34)=five</formula>
    </cfRule>
  </conditionalFormatting>
  <conditionalFormatting sqref="P35:R37">
    <cfRule type="expression" dxfId="63" priority="46" stopIfTrue="1">
      <formula>SUM($P$35:$R$37)=five</formula>
    </cfRule>
  </conditionalFormatting>
  <conditionalFormatting sqref="S35:U37">
    <cfRule type="expression" dxfId="62" priority="47" stopIfTrue="1">
      <formula>SUM($S$35:$U$37)=five</formula>
    </cfRule>
  </conditionalFormatting>
  <conditionalFormatting sqref="V35:X37">
    <cfRule type="expression" dxfId="61" priority="48" stopIfTrue="1">
      <formula>SUM($V$35:$X$37)=five</formula>
    </cfRule>
  </conditionalFormatting>
  <conditionalFormatting sqref="AB29:AD31">
    <cfRule type="expression" dxfId="60" priority="49" stopIfTrue="1">
      <formula>SUM($AB$29:$AD$31)=six</formula>
    </cfRule>
  </conditionalFormatting>
  <conditionalFormatting sqref="AE29:AG31">
    <cfRule type="expression" dxfId="59" priority="50" stopIfTrue="1">
      <formula>SUM($AE$29:$AG$31)=six</formula>
    </cfRule>
  </conditionalFormatting>
  <conditionalFormatting sqref="AH29:AJ31">
    <cfRule type="expression" dxfId="58" priority="51" stopIfTrue="1">
      <formula>SUM($AH$29:$AJ$31)=six</formula>
    </cfRule>
  </conditionalFormatting>
  <conditionalFormatting sqref="AB32:AD34">
    <cfRule type="expression" dxfId="57" priority="52" stopIfTrue="1">
      <formula>SUM($AB$32:$AD$34)=six</formula>
    </cfRule>
  </conditionalFormatting>
  <conditionalFormatting sqref="AE32:AG34">
    <cfRule type="expression" dxfId="56" priority="53" stopIfTrue="1">
      <formula>SUM($AE$32:$AG$34)=six</formula>
    </cfRule>
  </conditionalFormatting>
  <conditionalFormatting sqref="AH32:AJ34">
    <cfRule type="expression" dxfId="55" priority="54" stopIfTrue="1">
      <formula>SUM($AH$32:$AJ$34)=six</formula>
    </cfRule>
  </conditionalFormatting>
  <conditionalFormatting sqref="AB35:AD37">
    <cfRule type="expression" dxfId="54" priority="55" stopIfTrue="1">
      <formula>SUM($AB$35:$AD$37)=six</formula>
    </cfRule>
  </conditionalFormatting>
  <conditionalFormatting sqref="AE35:AG37">
    <cfRule type="expression" dxfId="53" priority="56" stopIfTrue="1">
      <formula>SUM($AE$35:$AG$37)=six</formula>
    </cfRule>
  </conditionalFormatting>
  <conditionalFormatting sqref="AH35:AJ37">
    <cfRule type="expression" dxfId="52" priority="57" stopIfTrue="1">
      <formula>SUM($AH$35:$AJ$37)=six</formula>
    </cfRule>
  </conditionalFormatting>
  <conditionalFormatting sqref="D41:F43">
    <cfRule type="expression" dxfId="51" priority="58" stopIfTrue="1">
      <formula>SUM($D$41:$F$43)=seven</formula>
    </cfRule>
  </conditionalFormatting>
  <conditionalFormatting sqref="G41:I43">
    <cfRule type="expression" dxfId="50" priority="59" stopIfTrue="1">
      <formula>SUM($G$41:$I$43)=seven</formula>
    </cfRule>
  </conditionalFormatting>
  <conditionalFormatting sqref="J41:L43">
    <cfRule type="expression" dxfId="49" priority="60" stopIfTrue="1">
      <formula>SUM($J$41:$L$43)=seven</formula>
    </cfRule>
  </conditionalFormatting>
  <conditionalFormatting sqref="D44:F46">
    <cfRule type="expression" dxfId="48" priority="61" stopIfTrue="1">
      <formula>SUM($D$44:$F$46)=seven</formula>
    </cfRule>
  </conditionalFormatting>
  <conditionalFormatting sqref="G44:I46">
    <cfRule type="expression" dxfId="47" priority="62" stopIfTrue="1">
      <formula>SUM($G$44:$I$46)=seven</formula>
    </cfRule>
  </conditionalFormatting>
  <conditionalFormatting sqref="J44:L46">
    <cfRule type="expression" dxfId="46" priority="63" stopIfTrue="1">
      <formula>SUM($J$44:$L$46)=seven</formula>
    </cfRule>
  </conditionalFormatting>
  <conditionalFormatting sqref="D47:F49">
    <cfRule type="expression" dxfId="45" priority="64" stopIfTrue="1">
      <formula>SUM($D$47:$F$49)=seven</formula>
    </cfRule>
  </conditionalFormatting>
  <conditionalFormatting sqref="G47:I49">
    <cfRule type="expression" dxfId="44" priority="65" stopIfTrue="1">
      <formula>SUM($G$47:$I$49)=seven</formula>
    </cfRule>
  </conditionalFormatting>
  <conditionalFormatting sqref="J47:L49">
    <cfRule type="expression" dxfId="43" priority="66" stopIfTrue="1">
      <formula>SUM($J$47:$L$49)=seven</formula>
    </cfRule>
  </conditionalFormatting>
  <conditionalFormatting sqref="P41:R43">
    <cfRule type="expression" dxfId="42" priority="67" stopIfTrue="1">
      <formula>SUM($P$41:$R$43)=eight</formula>
    </cfRule>
  </conditionalFormatting>
  <conditionalFormatting sqref="S41:U43">
    <cfRule type="expression" dxfId="41" priority="68" stopIfTrue="1">
      <formula>SUM($S$41:$U$43)=eight</formula>
    </cfRule>
  </conditionalFormatting>
  <conditionalFormatting sqref="V41:X43">
    <cfRule type="expression" dxfId="40" priority="69" stopIfTrue="1">
      <formula>SUM($V$41:$X$43)=eight</formula>
    </cfRule>
  </conditionalFormatting>
  <conditionalFormatting sqref="P44:R46">
    <cfRule type="expression" dxfId="39" priority="70" stopIfTrue="1">
      <formula>SUM($P$44:$R$46)=eight</formula>
    </cfRule>
  </conditionalFormatting>
  <conditionalFormatting sqref="S44:U46">
    <cfRule type="expression" dxfId="38" priority="71" stopIfTrue="1">
      <formula>SUM($S$44:$U$46)=eight</formula>
    </cfRule>
  </conditionalFormatting>
  <conditionalFormatting sqref="V44:X46">
    <cfRule type="expression" dxfId="37" priority="72" stopIfTrue="1">
      <formula>SUM($V$44:$X$46)=eight</formula>
    </cfRule>
  </conditionalFormatting>
  <conditionalFormatting sqref="P47:R49">
    <cfRule type="expression" dxfId="36" priority="73" stopIfTrue="1">
      <formula>SUM($P$47:$R$49)=eight</formula>
    </cfRule>
  </conditionalFormatting>
  <conditionalFormatting sqref="S47:U49">
    <cfRule type="expression" dxfId="35" priority="74" stopIfTrue="1">
      <formula>SUM($S$47:$U$49)=eight</formula>
    </cfRule>
  </conditionalFormatting>
  <conditionalFormatting sqref="V47:X49">
    <cfRule type="expression" dxfId="34" priority="75" stopIfTrue="1">
      <formula>SUM($V$47:$X$49)=eight</formula>
    </cfRule>
  </conditionalFormatting>
  <conditionalFormatting sqref="AB41:AD43">
    <cfRule type="expression" dxfId="33" priority="76" stopIfTrue="1">
      <formula>SUM($AB$41:$AD$43)=nine</formula>
    </cfRule>
  </conditionalFormatting>
  <conditionalFormatting sqref="AE41:AG43">
    <cfRule type="expression" dxfId="32" priority="77" stopIfTrue="1">
      <formula>SUM($AE$41:$AG$43)=nine</formula>
    </cfRule>
  </conditionalFormatting>
  <conditionalFormatting sqref="AH41:AJ43">
    <cfRule type="expression" dxfId="31" priority="78" stopIfTrue="1">
      <formula>SUM($AH$41:$AJ$43)=nine</formula>
    </cfRule>
  </conditionalFormatting>
  <conditionalFormatting sqref="AB44:AD46">
    <cfRule type="expression" dxfId="30" priority="79" stopIfTrue="1">
      <formula>SUM($AB$44:$AD$46)=nine</formula>
    </cfRule>
  </conditionalFormatting>
  <conditionalFormatting sqref="AE44:AG46">
    <cfRule type="expression" dxfId="29" priority="80" stopIfTrue="1">
      <formula>SUM($AE$44:$AG$46)=nine</formula>
    </cfRule>
  </conditionalFormatting>
  <conditionalFormatting sqref="AH44:AJ46">
    <cfRule type="expression" dxfId="28" priority="81" stopIfTrue="1">
      <formula>SUM($AH$44:$AJ$46)=nine</formula>
    </cfRule>
  </conditionalFormatting>
  <conditionalFormatting sqref="AB47:AD49">
    <cfRule type="expression" dxfId="27" priority="82" stopIfTrue="1">
      <formula>SUM($AB$47:$AD$49)=nine</formula>
    </cfRule>
  </conditionalFormatting>
  <conditionalFormatting sqref="AE47:AG49">
    <cfRule type="expression" dxfId="26" priority="83" stopIfTrue="1">
      <formula>SUM($AE$47:$AG$49)=nine</formula>
    </cfRule>
  </conditionalFormatting>
  <conditionalFormatting sqref="AH47:AJ49">
    <cfRule type="expression" dxfId="25" priority="84" stopIfTrue="1">
      <formula>SUM($AH$47:$AJ$49)=nine</formula>
    </cfRule>
  </conditionalFormatting>
  <conditionalFormatting sqref="P4:X12">
    <cfRule type="cellIs" dxfId="24" priority="85" stopIfTrue="1" operator="lessThan">
      <formula>0</formula>
    </cfRule>
    <cfRule type="cellIs" dxfId="23" priority="86" stopIfTrue="1" operator="between">
      <formula>1</formula>
      <formula>9</formula>
    </cfRule>
    <cfRule type="cellIs" dxfId="22" priority="87" stopIfTrue="1" operator="between">
      <formula>11</formula>
      <formula>99</formula>
    </cfRule>
  </conditionalFormatting>
  <conditionalFormatting sqref="W18 V17">
    <cfRule type="expression" dxfId="21" priority="88" stopIfTrue="1">
      <formula>SUM($V$17:$X$19)=2</formula>
    </cfRule>
  </conditionalFormatting>
  <conditionalFormatting sqref="U17">
    <cfRule type="expression" dxfId="20" priority="89" stopIfTrue="1">
      <formula>SUM($S$17:$U$19)=2</formula>
    </cfRule>
  </conditionalFormatting>
  <pageMargins left="0.78740157499999996" right="0.78740157499999996" top="0.984251969" bottom="0.984251969" header="0.5" footer="0.5"/>
  <pageSetup paperSize="9" orientation="portrait"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E14"/>
  <sheetViews>
    <sheetView workbookViewId="0"/>
  </sheetViews>
  <sheetFormatPr baseColWidth="10" defaultColWidth="3.42578125" defaultRowHeight="12.75" x14ac:dyDescent="0.2"/>
  <cols>
    <col min="1" max="1" width="13.85546875" bestFit="1" customWidth="1"/>
    <col min="2" max="2" width="3.28515625" customWidth="1"/>
    <col min="3" max="29" width="4.140625" customWidth="1"/>
  </cols>
  <sheetData>
    <row r="1" spans="1:31" x14ac:dyDescent="0.2">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row>
    <row r="2" spans="1:31" x14ac:dyDescent="0.2">
      <c r="A2" s="26"/>
      <c r="B2" s="26"/>
      <c r="C2" s="26"/>
      <c r="D2" s="26"/>
      <c r="E2" s="157" t="s">
        <v>118</v>
      </c>
      <c r="F2" s="26"/>
      <c r="G2" s="26"/>
      <c r="H2" s="26"/>
      <c r="I2" s="26"/>
      <c r="J2" s="26"/>
      <c r="K2" s="26"/>
      <c r="L2" s="26"/>
      <c r="M2" s="26"/>
      <c r="N2" s="157" t="s">
        <v>119</v>
      </c>
      <c r="O2" s="26"/>
      <c r="P2" s="26"/>
      <c r="Q2" s="26"/>
      <c r="R2" s="26"/>
      <c r="S2" s="26"/>
      <c r="T2" s="26"/>
      <c r="U2" s="26"/>
      <c r="V2" s="26"/>
      <c r="W2" s="26"/>
      <c r="X2" s="26"/>
      <c r="Y2" s="157" t="s">
        <v>120</v>
      </c>
      <c r="Z2" s="26"/>
      <c r="AA2" s="26"/>
      <c r="AB2" s="26"/>
      <c r="AC2" s="26"/>
      <c r="AD2" s="26"/>
      <c r="AE2" s="26"/>
    </row>
    <row r="3" spans="1:31" x14ac:dyDescent="0.2">
      <c r="A3" s="26"/>
      <c r="B3" s="85"/>
      <c r="C3" s="85" t="s">
        <v>0</v>
      </c>
      <c r="D3" s="85" t="s">
        <v>1</v>
      </c>
      <c r="E3" s="85" t="s">
        <v>2</v>
      </c>
      <c r="F3" s="85" t="s">
        <v>3</v>
      </c>
      <c r="G3" s="85" t="s">
        <v>4</v>
      </c>
      <c r="H3" s="85" t="s">
        <v>5</v>
      </c>
      <c r="I3" s="85" t="s">
        <v>6</v>
      </c>
      <c r="J3" s="85" t="s">
        <v>7</v>
      </c>
      <c r="K3" s="85" t="s">
        <v>8</v>
      </c>
      <c r="L3" s="85" t="s">
        <v>9</v>
      </c>
      <c r="M3" s="85" t="s">
        <v>10</v>
      </c>
      <c r="N3" s="85" t="s">
        <v>11</v>
      </c>
      <c r="O3" s="85" t="s">
        <v>12</v>
      </c>
      <c r="P3" s="85" t="s">
        <v>13</v>
      </c>
      <c r="Q3" s="85" t="s">
        <v>14</v>
      </c>
      <c r="R3" s="85" t="s">
        <v>15</v>
      </c>
      <c r="S3" s="85" t="s">
        <v>16</v>
      </c>
      <c r="T3" s="85" t="s">
        <v>17</v>
      </c>
      <c r="U3" s="85" t="s">
        <v>18</v>
      </c>
      <c r="V3" s="85" t="s">
        <v>19</v>
      </c>
      <c r="W3" s="85" t="s">
        <v>20</v>
      </c>
      <c r="X3" s="85" t="s">
        <v>21</v>
      </c>
      <c r="Y3" s="85" t="s">
        <v>22</v>
      </c>
      <c r="Z3" s="85" t="s">
        <v>23</v>
      </c>
      <c r="AA3" s="85" t="s">
        <v>24</v>
      </c>
      <c r="AB3" s="85" t="s">
        <v>25</v>
      </c>
      <c r="AC3" s="85" t="s">
        <v>26</v>
      </c>
      <c r="AD3" s="26"/>
      <c r="AE3" s="26"/>
    </row>
    <row r="4" spans="1:31" x14ac:dyDescent="0.2">
      <c r="A4" s="26"/>
      <c r="B4" s="85">
        <v>1</v>
      </c>
      <c r="C4" s="12">
        <f t="shared" ref="C4:C12" si="0">COUNTIF(_row1, numbers)</f>
        <v>0</v>
      </c>
      <c r="D4" s="12">
        <f t="shared" ref="D4:D12" si="1">COUNTIF(_row2, numbers)</f>
        <v>0</v>
      </c>
      <c r="E4" s="12">
        <f t="shared" ref="E4:E12" si="2">COUNTIF(_row3, numbers)</f>
        <v>0</v>
      </c>
      <c r="F4" s="12">
        <f t="shared" ref="F4:F12" si="3">COUNTIF(_row4, numbers)</f>
        <v>0</v>
      </c>
      <c r="G4" s="12">
        <f t="shared" ref="G4:G12" si="4">COUNTIF(_row5, numbers)</f>
        <v>0</v>
      </c>
      <c r="H4" s="12">
        <f t="shared" ref="H4:H12" si="5">COUNTIF(_row6, numbers)</f>
        <v>0</v>
      </c>
      <c r="I4" s="12">
        <f t="shared" ref="I4:I12" si="6">COUNTIF(_row7, numbers)</f>
        <v>0</v>
      </c>
      <c r="J4" s="12">
        <f t="shared" ref="J4:J12" si="7">COUNTIF(_row8, numbers)</f>
        <v>0</v>
      </c>
      <c r="K4" s="12">
        <f t="shared" ref="K4:K12" si="8">COUNTIF(_row9, numbers)</f>
        <v>0</v>
      </c>
      <c r="L4" s="12">
        <f t="shared" ref="L4:L12" si="9">COUNTIF(_col1, numbers)</f>
        <v>0</v>
      </c>
      <c r="M4" s="12">
        <f t="shared" ref="M4:M12" si="10">COUNTIF(_col2, numbers)</f>
        <v>0</v>
      </c>
      <c r="N4" s="12">
        <f t="shared" ref="N4:N12" si="11">COUNTIF(_col3, numbers)</f>
        <v>0</v>
      </c>
      <c r="O4" s="12">
        <f t="shared" ref="O4:O12" si="12">COUNTIF(_col4, numbers)</f>
        <v>0</v>
      </c>
      <c r="P4" s="12">
        <f t="shared" ref="P4:P12" si="13">COUNTIF(_col5, numbers)</f>
        <v>0</v>
      </c>
      <c r="Q4" s="12">
        <f t="shared" ref="Q4:Q12" si="14">COUNTIF(_col6, numbers)</f>
        <v>0</v>
      </c>
      <c r="R4" s="12">
        <f t="shared" ref="R4:R12" si="15">COUNTIF(_col7, numbers)</f>
        <v>0</v>
      </c>
      <c r="S4" s="12">
        <f t="shared" ref="S4:S12" si="16">COUNTIF(_col8, numbers)</f>
        <v>0</v>
      </c>
      <c r="T4" s="12">
        <f t="shared" ref="T4:T12" si="17">COUNTIF(_col9, numbers)</f>
        <v>0</v>
      </c>
      <c r="U4" s="12">
        <f t="shared" ref="U4:U12" si="18">COUNTIF(_sq11, numbers)</f>
        <v>0</v>
      </c>
      <c r="V4" s="12">
        <f t="shared" ref="V4:V12" si="19">COUNTIF(_sq12, numbers)</f>
        <v>0</v>
      </c>
      <c r="W4" s="12">
        <f t="shared" ref="W4:W12" si="20">COUNTIF(_sq13, numbers)</f>
        <v>0</v>
      </c>
      <c r="X4" s="12">
        <f t="shared" ref="X4:X12" si="21">COUNTIF(_sq21, numbers)</f>
        <v>0</v>
      </c>
      <c r="Y4" s="12">
        <f t="shared" ref="Y4:Y12" si="22">COUNTIF(_sq22, numbers)</f>
        <v>0</v>
      </c>
      <c r="Z4" s="12">
        <f t="shared" ref="Z4:Z12" si="23">COUNTIF(_sq23, numbers)</f>
        <v>0</v>
      </c>
      <c r="AA4" s="12">
        <f t="shared" ref="AA4:AA12" si="24">COUNTIF(_sq31, numbers)</f>
        <v>0</v>
      </c>
      <c r="AB4" s="12">
        <f t="shared" ref="AB4:AB12" si="25">COUNTIF(_sq32, numbers)</f>
        <v>0</v>
      </c>
      <c r="AC4" s="12">
        <f t="shared" ref="AC4:AC12" si="26">COUNTIF(_sq33, numbers)</f>
        <v>0</v>
      </c>
      <c r="AD4" s="26"/>
      <c r="AE4" s="26"/>
    </row>
    <row r="5" spans="1:31" x14ac:dyDescent="0.2">
      <c r="A5" s="26"/>
      <c r="B5" s="85">
        <v>2</v>
      </c>
      <c r="C5" s="12">
        <f t="shared" si="0"/>
        <v>0</v>
      </c>
      <c r="D5" s="12">
        <f t="shared" si="1"/>
        <v>0</v>
      </c>
      <c r="E5" s="12">
        <f t="shared" si="2"/>
        <v>0</v>
      </c>
      <c r="F5" s="12">
        <f t="shared" si="3"/>
        <v>0</v>
      </c>
      <c r="G5" s="12">
        <f t="shared" si="4"/>
        <v>0</v>
      </c>
      <c r="H5" s="12">
        <f t="shared" si="5"/>
        <v>0</v>
      </c>
      <c r="I5" s="12">
        <f t="shared" si="6"/>
        <v>0</v>
      </c>
      <c r="J5" s="12">
        <f t="shared" si="7"/>
        <v>0</v>
      </c>
      <c r="K5" s="12">
        <f t="shared" si="8"/>
        <v>0</v>
      </c>
      <c r="L5" s="12">
        <f t="shared" si="9"/>
        <v>0</v>
      </c>
      <c r="M5" s="12">
        <f t="shared" si="10"/>
        <v>0</v>
      </c>
      <c r="N5" s="12">
        <f t="shared" si="11"/>
        <v>0</v>
      </c>
      <c r="O5" s="12">
        <f t="shared" si="12"/>
        <v>0</v>
      </c>
      <c r="P5" s="12">
        <f t="shared" si="13"/>
        <v>0</v>
      </c>
      <c r="Q5" s="12">
        <f t="shared" si="14"/>
        <v>0</v>
      </c>
      <c r="R5" s="12">
        <f t="shared" si="15"/>
        <v>0</v>
      </c>
      <c r="S5" s="12">
        <f t="shared" si="16"/>
        <v>0</v>
      </c>
      <c r="T5" s="12">
        <f t="shared" si="17"/>
        <v>0</v>
      </c>
      <c r="U5" s="12">
        <f t="shared" si="18"/>
        <v>0</v>
      </c>
      <c r="V5" s="12">
        <f t="shared" si="19"/>
        <v>0</v>
      </c>
      <c r="W5" s="12">
        <f t="shared" si="20"/>
        <v>0</v>
      </c>
      <c r="X5" s="12">
        <f t="shared" si="21"/>
        <v>0</v>
      </c>
      <c r="Y5" s="12">
        <f t="shared" si="22"/>
        <v>0</v>
      </c>
      <c r="Z5" s="12">
        <f t="shared" si="23"/>
        <v>0</v>
      </c>
      <c r="AA5" s="12">
        <f t="shared" si="24"/>
        <v>0</v>
      </c>
      <c r="AB5" s="12">
        <f t="shared" si="25"/>
        <v>0</v>
      </c>
      <c r="AC5" s="12">
        <f t="shared" si="26"/>
        <v>0</v>
      </c>
      <c r="AD5" s="26"/>
      <c r="AE5" s="26"/>
    </row>
    <row r="6" spans="1:31" x14ac:dyDescent="0.2">
      <c r="A6" s="26"/>
      <c r="B6" s="85">
        <v>3</v>
      </c>
      <c r="C6" s="12">
        <f t="shared" si="0"/>
        <v>0</v>
      </c>
      <c r="D6" s="12">
        <f t="shared" si="1"/>
        <v>0</v>
      </c>
      <c r="E6" s="12">
        <f t="shared" si="2"/>
        <v>0</v>
      </c>
      <c r="F6" s="12">
        <f t="shared" si="3"/>
        <v>0</v>
      </c>
      <c r="G6" s="12">
        <f t="shared" si="4"/>
        <v>0</v>
      </c>
      <c r="H6" s="12">
        <f t="shared" si="5"/>
        <v>0</v>
      </c>
      <c r="I6" s="12">
        <f t="shared" si="6"/>
        <v>0</v>
      </c>
      <c r="J6" s="12">
        <f t="shared" si="7"/>
        <v>0</v>
      </c>
      <c r="K6" s="12">
        <f t="shared" si="8"/>
        <v>0</v>
      </c>
      <c r="L6" s="12">
        <f t="shared" si="9"/>
        <v>0</v>
      </c>
      <c r="M6" s="12">
        <f t="shared" si="10"/>
        <v>0</v>
      </c>
      <c r="N6" s="12">
        <f t="shared" si="11"/>
        <v>0</v>
      </c>
      <c r="O6" s="12">
        <f t="shared" si="12"/>
        <v>0</v>
      </c>
      <c r="P6" s="12">
        <f t="shared" si="13"/>
        <v>0</v>
      </c>
      <c r="Q6" s="12">
        <f t="shared" si="14"/>
        <v>0</v>
      </c>
      <c r="R6" s="12">
        <f t="shared" si="15"/>
        <v>0</v>
      </c>
      <c r="S6" s="12">
        <f t="shared" si="16"/>
        <v>0</v>
      </c>
      <c r="T6" s="12">
        <f t="shared" si="17"/>
        <v>0</v>
      </c>
      <c r="U6" s="12">
        <f t="shared" si="18"/>
        <v>0</v>
      </c>
      <c r="V6" s="12">
        <f t="shared" si="19"/>
        <v>0</v>
      </c>
      <c r="W6" s="12">
        <f t="shared" si="20"/>
        <v>0</v>
      </c>
      <c r="X6" s="12">
        <f t="shared" si="21"/>
        <v>0</v>
      </c>
      <c r="Y6" s="12">
        <f t="shared" si="22"/>
        <v>0</v>
      </c>
      <c r="Z6" s="12">
        <f t="shared" si="23"/>
        <v>0</v>
      </c>
      <c r="AA6" s="12">
        <f t="shared" si="24"/>
        <v>0</v>
      </c>
      <c r="AB6" s="12">
        <f t="shared" si="25"/>
        <v>0</v>
      </c>
      <c r="AC6" s="12">
        <f t="shared" si="26"/>
        <v>0</v>
      </c>
      <c r="AD6" s="26"/>
      <c r="AE6" s="26"/>
    </row>
    <row r="7" spans="1:31" x14ac:dyDescent="0.2">
      <c r="A7" s="26"/>
      <c r="B7" s="85">
        <v>4</v>
      </c>
      <c r="C7" s="12">
        <f t="shared" si="0"/>
        <v>0</v>
      </c>
      <c r="D7" s="12">
        <f t="shared" si="1"/>
        <v>0</v>
      </c>
      <c r="E7" s="12">
        <f t="shared" si="2"/>
        <v>0</v>
      </c>
      <c r="F7" s="12">
        <f t="shared" si="3"/>
        <v>0</v>
      </c>
      <c r="G7" s="12">
        <f t="shared" si="4"/>
        <v>0</v>
      </c>
      <c r="H7" s="12">
        <f t="shared" si="5"/>
        <v>0</v>
      </c>
      <c r="I7" s="12">
        <f t="shared" si="6"/>
        <v>0</v>
      </c>
      <c r="J7" s="12">
        <f t="shared" si="7"/>
        <v>0</v>
      </c>
      <c r="K7" s="12">
        <f t="shared" si="8"/>
        <v>0</v>
      </c>
      <c r="L7" s="12">
        <f t="shared" si="9"/>
        <v>0</v>
      </c>
      <c r="M7" s="12">
        <f t="shared" si="10"/>
        <v>0</v>
      </c>
      <c r="N7" s="12">
        <f t="shared" si="11"/>
        <v>0</v>
      </c>
      <c r="O7" s="12">
        <f t="shared" si="12"/>
        <v>0</v>
      </c>
      <c r="P7" s="12">
        <f t="shared" si="13"/>
        <v>0</v>
      </c>
      <c r="Q7" s="12">
        <f t="shared" si="14"/>
        <v>0</v>
      </c>
      <c r="R7" s="12">
        <f t="shared" si="15"/>
        <v>0</v>
      </c>
      <c r="S7" s="12">
        <f t="shared" si="16"/>
        <v>0</v>
      </c>
      <c r="T7" s="12">
        <f t="shared" si="17"/>
        <v>0</v>
      </c>
      <c r="U7" s="12">
        <f t="shared" si="18"/>
        <v>0</v>
      </c>
      <c r="V7" s="12">
        <f t="shared" si="19"/>
        <v>0</v>
      </c>
      <c r="W7" s="12">
        <f t="shared" si="20"/>
        <v>0</v>
      </c>
      <c r="X7" s="12">
        <f t="shared" si="21"/>
        <v>0</v>
      </c>
      <c r="Y7" s="12">
        <f t="shared" si="22"/>
        <v>0</v>
      </c>
      <c r="Z7" s="12">
        <f t="shared" si="23"/>
        <v>0</v>
      </c>
      <c r="AA7" s="12">
        <f t="shared" si="24"/>
        <v>0</v>
      </c>
      <c r="AB7" s="12">
        <f t="shared" si="25"/>
        <v>0</v>
      </c>
      <c r="AC7" s="12">
        <f t="shared" si="26"/>
        <v>0</v>
      </c>
      <c r="AD7" s="26"/>
      <c r="AE7" s="26"/>
    </row>
    <row r="8" spans="1:31" x14ac:dyDescent="0.2">
      <c r="A8" s="157" t="s">
        <v>117</v>
      </c>
      <c r="B8" s="85">
        <v>5</v>
      </c>
      <c r="C8" s="12">
        <f t="shared" si="0"/>
        <v>0</v>
      </c>
      <c r="D8" s="12">
        <f t="shared" si="1"/>
        <v>0</v>
      </c>
      <c r="E8" s="12">
        <f t="shared" si="2"/>
        <v>0</v>
      </c>
      <c r="F8" s="12">
        <f t="shared" si="3"/>
        <v>0</v>
      </c>
      <c r="G8" s="12">
        <f t="shared" si="4"/>
        <v>0</v>
      </c>
      <c r="H8" s="12">
        <f t="shared" si="5"/>
        <v>0</v>
      </c>
      <c r="I8" s="12">
        <f t="shared" si="6"/>
        <v>0</v>
      </c>
      <c r="J8" s="12">
        <f t="shared" si="7"/>
        <v>0</v>
      </c>
      <c r="K8" s="12">
        <f t="shared" si="8"/>
        <v>0</v>
      </c>
      <c r="L8" s="12">
        <f t="shared" si="9"/>
        <v>0</v>
      </c>
      <c r="M8" s="12">
        <f t="shared" si="10"/>
        <v>0</v>
      </c>
      <c r="N8" s="12">
        <f t="shared" si="11"/>
        <v>0</v>
      </c>
      <c r="O8" s="12">
        <f t="shared" si="12"/>
        <v>0</v>
      </c>
      <c r="P8" s="12">
        <f t="shared" si="13"/>
        <v>0</v>
      </c>
      <c r="Q8" s="12">
        <f t="shared" si="14"/>
        <v>0</v>
      </c>
      <c r="R8" s="12">
        <f t="shared" si="15"/>
        <v>0</v>
      </c>
      <c r="S8" s="12">
        <f t="shared" si="16"/>
        <v>0</v>
      </c>
      <c r="T8" s="12">
        <f t="shared" si="17"/>
        <v>0</v>
      </c>
      <c r="U8" s="12">
        <f t="shared" si="18"/>
        <v>0</v>
      </c>
      <c r="V8" s="12">
        <f t="shared" si="19"/>
        <v>0</v>
      </c>
      <c r="W8" s="12">
        <f t="shared" si="20"/>
        <v>0</v>
      </c>
      <c r="X8" s="12">
        <f t="shared" si="21"/>
        <v>0</v>
      </c>
      <c r="Y8" s="12">
        <f t="shared" si="22"/>
        <v>0</v>
      </c>
      <c r="Z8" s="12">
        <f t="shared" si="23"/>
        <v>0</v>
      </c>
      <c r="AA8" s="12">
        <f t="shared" si="24"/>
        <v>0</v>
      </c>
      <c r="AB8" s="12">
        <f t="shared" si="25"/>
        <v>0</v>
      </c>
      <c r="AC8" s="12">
        <f t="shared" si="26"/>
        <v>0</v>
      </c>
      <c r="AD8" s="26"/>
      <c r="AE8" s="26"/>
    </row>
    <row r="9" spans="1:31" x14ac:dyDescent="0.2">
      <c r="A9" s="26"/>
      <c r="B9" s="85">
        <v>6</v>
      </c>
      <c r="C9" s="12">
        <f t="shared" si="0"/>
        <v>0</v>
      </c>
      <c r="D9" s="12">
        <f t="shared" si="1"/>
        <v>0</v>
      </c>
      <c r="E9" s="12">
        <f t="shared" si="2"/>
        <v>0</v>
      </c>
      <c r="F9" s="12">
        <f t="shared" si="3"/>
        <v>0</v>
      </c>
      <c r="G9" s="12">
        <f t="shared" si="4"/>
        <v>0</v>
      </c>
      <c r="H9" s="12">
        <f t="shared" si="5"/>
        <v>0</v>
      </c>
      <c r="I9" s="12">
        <f t="shared" si="6"/>
        <v>0</v>
      </c>
      <c r="J9" s="12">
        <f t="shared" si="7"/>
        <v>0</v>
      </c>
      <c r="K9" s="12">
        <f t="shared" si="8"/>
        <v>0</v>
      </c>
      <c r="L9" s="12">
        <f t="shared" si="9"/>
        <v>0</v>
      </c>
      <c r="M9" s="12">
        <f t="shared" si="10"/>
        <v>0</v>
      </c>
      <c r="N9" s="12">
        <f t="shared" si="11"/>
        <v>0</v>
      </c>
      <c r="O9" s="12">
        <f t="shared" si="12"/>
        <v>0</v>
      </c>
      <c r="P9" s="12">
        <f t="shared" si="13"/>
        <v>0</v>
      </c>
      <c r="Q9" s="12">
        <f t="shared" si="14"/>
        <v>0</v>
      </c>
      <c r="R9" s="12">
        <f t="shared" si="15"/>
        <v>0</v>
      </c>
      <c r="S9" s="12">
        <f t="shared" si="16"/>
        <v>0</v>
      </c>
      <c r="T9" s="12">
        <f t="shared" si="17"/>
        <v>0</v>
      </c>
      <c r="U9" s="12">
        <f t="shared" si="18"/>
        <v>0</v>
      </c>
      <c r="V9" s="12">
        <f t="shared" si="19"/>
        <v>0</v>
      </c>
      <c r="W9" s="12">
        <f t="shared" si="20"/>
        <v>0</v>
      </c>
      <c r="X9" s="12">
        <f t="shared" si="21"/>
        <v>0</v>
      </c>
      <c r="Y9" s="12">
        <f t="shared" si="22"/>
        <v>0</v>
      </c>
      <c r="Z9" s="12">
        <f t="shared" si="23"/>
        <v>0</v>
      </c>
      <c r="AA9" s="12">
        <f t="shared" si="24"/>
        <v>0</v>
      </c>
      <c r="AB9" s="12">
        <f t="shared" si="25"/>
        <v>0</v>
      </c>
      <c r="AC9" s="12">
        <f t="shared" si="26"/>
        <v>0</v>
      </c>
      <c r="AD9" s="26"/>
      <c r="AE9" s="26"/>
    </row>
    <row r="10" spans="1:31" x14ac:dyDescent="0.2">
      <c r="A10" s="26"/>
      <c r="B10" s="85">
        <v>7</v>
      </c>
      <c r="C10" s="12">
        <f t="shared" si="0"/>
        <v>0</v>
      </c>
      <c r="D10" s="12">
        <f t="shared" si="1"/>
        <v>0</v>
      </c>
      <c r="E10" s="12">
        <f t="shared" si="2"/>
        <v>0</v>
      </c>
      <c r="F10" s="12">
        <f t="shared" si="3"/>
        <v>0</v>
      </c>
      <c r="G10" s="12">
        <f t="shared" si="4"/>
        <v>0</v>
      </c>
      <c r="H10" s="12">
        <f t="shared" si="5"/>
        <v>0</v>
      </c>
      <c r="I10" s="12">
        <f t="shared" si="6"/>
        <v>0</v>
      </c>
      <c r="J10" s="12">
        <f t="shared" si="7"/>
        <v>0</v>
      </c>
      <c r="K10" s="12">
        <f t="shared" si="8"/>
        <v>0</v>
      </c>
      <c r="L10" s="12">
        <f t="shared" si="9"/>
        <v>0</v>
      </c>
      <c r="M10" s="12">
        <f t="shared" si="10"/>
        <v>0</v>
      </c>
      <c r="N10" s="12">
        <f t="shared" si="11"/>
        <v>0</v>
      </c>
      <c r="O10" s="12">
        <f t="shared" si="12"/>
        <v>0</v>
      </c>
      <c r="P10" s="12">
        <f t="shared" si="13"/>
        <v>0</v>
      </c>
      <c r="Q10" s="12">
        <f t="shared" si="14"/>
        <v>0</v>
      </c>
      <c r="R10" s="12">
        <f t="shared" si="15"/>
        <v>0</v>
      </c>
      <c r="S10" s="12">
        <f t="shared" si="16"/>
        <v>0</v>
      </c>
      <c r="T10" s="12">
        <f t="shared" si="17"/>
        <v>0</v>
      </c>
      <c r="U10" s="12">
        <f t="shared" si="18"/>
        <v>0</v>
      </c>
      <c r="V10" s="12">
        <f t="shared" si="19"/>
        <v>0</v>
      </c>
      <c r="W10" s="12">
        <f t="shared" si="20"/>
        <v>0</v>
      </c>
      <c r="X10" s="12">
        <f t="shared" si="21"/>
        <v>0</v>
      </c>
      <c r="Y10" s="12">
        <f t="shared" si="22"/>
        <v>0</v>
      </c>
      <c r="Z10" s="12">
        <f t="shared" si="23"/>
        <v>0</v>
      </c>
      <c r="AA10" s="12">
        <f t="shared" si="24"/>
        <v>0</v>
      </c>
      <c r="AB10" s="12">
        <f t="shared" si="25"/>
        <v>0</v>
      </c>
      <c r="AC10" s="12">
        <f t="shared" si="26"/>
        <v>0</v>
      </c>
      <c r="AD10" s="26"/>
      <c r="AE10" s="26"/>
    </row>
    <row r="11" spans="1:31" x14ac:dyDescent="0.2">
      <c r="A11" s="26"/>
      <c r="B11" s="85">
        <v>8</v>
      </c>
      <c r="C11" s="12">
        <f t="shared" si="0"/>
        <v>0</v>
      </c>
      <c r="D11" s="12">
        <f t="shared" si="1"/>
        <v>0</v>
      </c>
      <c r="E11" s="12">
        <f t="shared" si="2"/>
        <v>0</v>
      </c>
      <c r="F11" s="12">
        <f t="shared" si="3"/>
        <v>0</v>
      </c>
      <c r="G11" s="12">
        <f t="shared" si="4"/>
        <v>0</v>
      </c>
      <c r="H11" s="12">
        <f t="shared" si="5"/>
        <v>0</v>
      </c>
      <c r="I11" s="12">
        <f t="shared" si="6"/>
        <v>0</v>
      </c>
      <c r="J11" s="12">
        <f t="shared" si="7"/>
        <v>0</v>
      </c>
      <c r="K11" s="12">
        <f t="shared" si="8"/>
        <v>0</v>
      </c>
      <c r="L11" s="12">
        <f t="shared" si="9"/>
        <v>0</v>
      </c>
      <c r="M11" s="12">
        <f t="shared" si="10"/>
        <v>0</v>
      </c>
      <c r="N11" s="12">
        <f t="shared" si="11"/>
        <v>0</v>
      </c>
      <c r="O11" s="12">
        <f t="shared" si="12"/>
        <v>0</v>
      </c>
      <c r="P11" s="12">
        <f t="shared" si="13"/>
        <v>0</v>
      </c>
      <c r="Q11" s="12">
        <f t="shared" si="14"/>
        <v>0</v>
      </c>
      <c r="R11" s="12">
        <f t="shared" si="15"/>
        <v>0</v>
      </c>
      <c r="S11" s="12">
        <f t="shared" si="16"/>
        <v>0</v>
      </c>
      <c r="T11" s="12">
        <f t="shared" si="17"/>
        <v>0</v>
      </c>
      <c r="U11" s="12">
        <f t="shared" si="18"/>
        <v>0</v>
      </c>
      <c r="V11" s="12">
        <f t="shared" si="19"/>
        <v>0</v>
      </c>
      <c r="W11" s="12">
        <f t="shared" si="20"/>
        <v>0</v>
      </c>
      <c r="X11" s="12">
        <f t="shared" si="21"/>
        <v>0</v>
      </c>
      <c r="Y11" s="12">
        <f t="shared" si="22"/>
        <v>0</v>
      </c>
      <c r="Z11" s="12">
        <f t="shared" si="23"/>
        <v>0</v>
      </c>
      <c r="AA11" s="12">
        <f t="shared" si="24"/>
        <v>0</v>
      </c>
      <c r="AB11" s="12">
        <f t="shared" si="25"/>
        <v>0</v>
      </c>
      <c r="AC11" s="12">
        <f t="shared" si="26"/>
        <v>0</v>
      </c>
      <c r="AD11" s="26"/>
      <c r="AE11" s="26"/>
    </row>
    <row r="12" spans="1:31" x14ac:dyDescent="0.2">
      <c r="A12" s="26"/>
      <c r="B12" s="85">
        <v>9</v>
      </c>
      <c r="C12" s="12">
        <f t="shared" si="0"/>
        <v>0</v>
      </c>
      <c r="D12" s="12">
        <f t="shared" si="1"/>
        <v>0</v>
      </c>
      <c r="E12" s="12">
        <f t="shared" si="2"/>
        <v>0</v>
      </c>
      <c r="F12" s="12">
        <f t="shared" si="3"/>
        <v>0</v>
      </c>
      <c r="G12" s="12">
        <f t="shared" si="4"/>
        <v>0</v>
      </c>
      <c r="H12" s="12">
        <f t="shared" si="5"/>
        <v>0</v>
      </c>
      <c r="I12" s="12">
        <f t="shared" si="6"/>
        <v>0</v>
      </c>
      <c r="J12" s="12">
        <f t="shared" si="7"/>
        <v>0</v>
      </c>
      <c r="K12" s="12">
        <f t="shared" si="8"/>
        <v>0</v>
      </c>
      <c r="L12" s="12">
        <f t="shared" si="9"/>
        <v>0</v>
      </c>
      <c r="M12" s="12">
        <f t="shared" si="10"/>
        <v>0</v>
      </c>
      <c r="N12" s="12">
        <f t="shared" si="11"/>
        <v>0</v>
      </c>
      <c r="O12" s="12">
        <f t="shared" si="12"/>
        <v>0</v>
      </c>
      <c r="P12" s="12">
        <f t="shared" si="13"/>
        <v>0</v>
      </c>
      <c r="Q12" s="12">
        <f t="shared" si="14"/>
        <v>0</v>
      </c>
      <c r="R12" s="12">
        <f t="shared" si="15"/>
        <v>0</v>
      </c>
      <c r="S12" s="12">
        <f t="shared" si="16"/>
        <v>0</v>
      </c>
      <c r="T12" s="12">
        <f t="shared" si="17"/>
        <v>0</v>
      </c>
      <c r="U12" s="12">
        <f t="shared" si="18"/>
        <v>0</v>
      </c>
      <c r="V12" s="12">
        <f t="shared" si="19"/>
        <v>0</v>
      </c>
      <c r="W12" s="12">
        <f t="shared" si="20"/>
        <v>0</v>
      </c>
      <c r="X12" s="12">
        <f t="shared" si="21"/>
        <v>0</v>
      </c>
      <c r="Y12" s="12">
        <f t="shared" si="22"/>
        <v>0</v>
      </c>
      <c r="Z12" s="12">
        <f t="shared" si="23"/>
        <v>0</v>
      </c>
      <c r="AA12" s="12">
        <f t="shared" si="24"/>
        <v>0</v>
      </c>
      <c r="AB12" s="12">
        <f t="shared" si="25"/>
        <v>0</v>
      </c>
      <c r="AC12" s="12">
        <f t="shared" si="26"/>
        <v>0</v>
      </c>
      <c r="AD12" s="26"/>
      <c r="AE12" s="26"/>
    </row>
    <row r="13" spans="1:31" x14ac:dyDescent="0.2">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row>
    <row r="14" spans="1:31" x14ac:dyDescent="0.2">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row>
  </sheetData>
  <phoneticPr fontId="1" type="noConversion"/>
  <conditionalFormatting sqref="C4:AC12">
    <cfRule type="cellIs" dxfId="19" priority="1" stopIfTrue="1" operator="equal">
      <formula>1</formula>
    </cfRule>
    <cfRule type="cellIs" dxfId="18" priority="2" stopIfTrue="1" operator="greaterThan">
      <formula>1</formula>
    </cfRule>
  </conditionalFormatting>
  <pageMargins left="0.78740157499999996" right="0.78740157499999996" top="0.984251969" bottom="0.984251969"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CZ253"/>
  <sheetViews>
    <sheetView workbookViewId="0"/>
  </sheetViews>
  <sheetFormatPr baseColWidth="10" defaultRowHeight="12.75" x14ac:dyDescent="0.2"/>
  <cols>
    <col min="1" max="104" width="3.5703125" style="59" customWidth="1"/>
    <col min="105" max="16384" width="11.42578125" style="59"/>
  </cols>
  <sheetData>
    <row r="1" spans="1:104" ht="15" x14ac:dyDescent="0.2">
      <c r="A1" s="39"/>
      <c r="B1" s="39"/>
      <c r="C1" s="26"/>
      <c r="D1" s="26"/>
      <c r="E1" s="26"/>
      <c r="F1" s="26"/>
      <c r="G1" s="26"/>
      <c r="H1" s="26"/>
      <c r="I1" s="26"/>
      <c r="J1" s="26"/>
      <c r="K1" s="26"/>
      <c r="L1" s="26"/>
      <c r="M1" s="26"/>
      <c r="N1" s="26"/>
      <c r="O1" s="26"/>
      <c r="P1" s="26"/>
      <c r="Q1" s="26"/>
      <c r="R1" s="26"/>
      <c r="S1" s="26"/>
      <c r="T1" s="26"/>
      <c r="U1" s="26"/>
      <c r="V1" s="26"/>
      <c r="W1" s="26"/>
      <c r="X1" s="26"/>
      <c r="Y1" s="26"/>
      <c r="Z1" s="38"/>
      <c r="AA1" s="39"/>
      <c r="AB1" s="26"/>
      <c r="AC1" s="26"/>
      <c r="AD1" s="26"/>
      <c r="AE1" s="26"/>
      <c r="AF1" s="26"/>
      <c r="AG1" s="26"/>
      <c r="AH1" s="26"/>
      <c r="AI1" s="26"/>
      <c r="AJ1" s="26"/>
      <c r="AK1" s="26"/>
      <c r="AL1" s="26"/>
      <c r="AM1" s="26"/>
      <c r="AN1" s="26"/>
      <c r="AO1" s="26"/>
      <c r="AP1" s="26"/>
      <c r="AQ1" s="26"/>
      <c r="AR1" s="26"/>
      <c r="AS1" s="26"/>
      <c r="AT1" s="26"/>
      <c r="AU1" s="26"/>
      <c r="AV1" s="26"/>
      <c r="AW1" s="26"/>
      <c r="AX1" s="26"/>
      <c r="AY1" s="38"/>
      <c r="AZ1" s="39"/>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38"/>
      <c r="CA1" s="39"/>
      <c r="CB1" s="26"/>
      <c r="CC1" s="26"/>
      <c r="CD1" s="26"/>
      <c r="CE1" s="26"/>
      <c r="CF1" s="26"/>
      <c r="CG1" s="26"/>
      <c r="CH1" s="26"/>
      <c r="CI1" s="26"/>
      <c r="CJ1" s="26"/>
      <c r="CK1" s="26"/>
      <c r="CL1" s="26"/>
      <c r="CM1" s="26"/>
      <c r="CN1" s="26"/>
      <c r="CO1" s="26"/>
      <c r="CP1" s="26"/>
      <c r="CQ1" s="26"/>
      <c r="CR1" s="26"/>
      <c r="CS1" s="26"/>
      <c r="CT1" s="26"/>
      <c r="CU1" s="26"/>
      <c r="CV1" s="26"/>
      <c r="CW1" s="26"/>
      <c r="CX1" s="26"/>
      <c r="CY1" s="26"/>
      <c r="CZ1" s="26"/>
    </row>
    <row r="2" spans="1:104" ht="15" x14ac:dyDescent="0.2">
      <c r="A2" s="39"/>
      <c r="B2" s="39" t="s">
        <v>43</v>
      </c>
      <c r="C2" s="26"/>
      <c r="D2" s="26"/>
      <c r="E2" s="26"/>
      <c r="F2" s="26"/>
      <c r="G2" s="26"/>
      <c r="H2" s="26"/>
      <c r="I2" s="26"/>
      <c r="J2" s="26"/>
      <c r="K2" s="26"/>
      <c r="L2" s="26"/>
      <c r="M2" s="26"/>
      <c r="N2" s="26"/>
      <c r="O2" s="26"/>
      <c r="P2" s="26"/>
      <c r="Q2" s="26"/>
      <c r="R2" s="26"/>
      <c r="S2" s="26"/>
      <c r="T2" s="26"/>
      <c r="U2" s="26"/>
      <c r="V2" s="26"/>
      <c r="W2" s="26"/>
      <c r="X2" s="26"/>
      <c r="Y2" s="26"/>
      <c r="Z2" s="38"/>
      <c r="AA2" s="39" t="s">
        <v>125</v>
      </c>
      <c r="AB2" s="26"/>
      <c r="AC2" s="26"/>
      <c r="AD2" s="26"/>
      <c r="AE2" s="26"/>
      <c r="AF2" s="26"/>
      <c r="AG2" s="26"/>
      <c r="AH2" s="26"/>
      <c r="AI2" s="26"/>
      <c r="AJ2" s="26"/>
      <c r="AK2" s="26"/>
      <c r="AL2" s="26"/>
      <c r="AM2" s="26"/>
      <c r="AN2" s="26"/>
      <c r="AO2" s="26"/>
      <c r="AP2" s="26"/>
      <c r="AQ2" s="26"/>
      <c r="AR2" s="26"/>
      <c r="AS2" s="26"/>
      <c r="AT2" s="26"/>
      <c r="AU2" s="26"/>
      <c r="AV2" s="26"/>
      <c r="AW2" s="26"/>
      <c r="AX2" s="26"/>
      <c r="AY2" s="38"/>
      <c r="AZ2" s="39" t="s">
        <v>126</v>
      </c>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38"/>
      <c r="CA2" s="39" t="s">
        <v>79</v>
      </c>
      <c r="CB2" s="26"/>
      <c r="CC2" s="26"/>
      <c r="CD2" s="26"/>
      <c r="CE2" s="26"/>
      <c r="CF2" s="26"/>
      <c r="CG2" s="26"/>
      <c r="CH2" s="26"/>
      <c r="CI2" s="26"/>
      <c r="CJ2" s="26"/>
      <c r="CK2" s="26"/>
      <c r="CL2" s="26"/>
      <c r="CM2" s="26"/>
      <c r="CN2" s="26"/>
      <c r="CO2" s="26"/>
      <c r="CP2" s="26"/>
      <c r="CQ2" s="26"/>
      <c r="CR2" s="26"/>
      <c r="CS2" s="26"/>
      <c r="CT2" s="26"/>
      <c r="CU2" s="26"/>
      <c r="CV2" s="26"/>
      <c r="CW2" s="26"/>
      <c r="CX2" s="26"/>
      <c r="CY2" s="26"/>
      <c r="CZ2" s="26"/>
    </row>
    <row r="3" spans="1:104" x14ac:dyDescent="0.2">
      <c r="A3" s="26"/>
      <c r="B3" s="26"/>
      <c r="C3" s="26"/>
      <c r="D3" s="26"/>
      <c r="E3" s="26"/>
      <c r="F3" s="26"/>
      <c r="G3" s="26"/>
      <c r="H3" s="26"/>
      <c r="I3" s="26"/>
      <c r="J3" s="26"/>
      <c r="K3" s="26"/>
      <c r="L3" s="26"/>
      <c r="M3" s="26"/>
      <c r="N3" s="26"/>
      <c r="O3" s="26"/>
      <c r="P3" s="26"/>
      <c r="Q3" s="26"/>
      <c r="R3" s="26"/>
      <c r="S3" s="26"/>
      <c r="T3" s="26"/>
      <c r="U3" s="26"/>
      <c r="V3" s="26"/>
      <c r="W3" s="26"/>
      <c r="X3" s="26"/>
      <c r="Y3" s="26"/>
      <c r="Z3" s="38"/>
      <c r="AA3" s="26"/>
      <c r="AB3" s="26"/>
      <c r="AC3" s="26"/>
      <c r="AD3" s="26"/>
      <c r="AE3" s="26"/>
      <c r="AF3" s="26"/>
      <c r="AG3" s="26"/>
      <c r="AH3" s="26"/>
      <c r="AI3" s="26"/>
      <c r="AJ3" s="26"/>
      <c r="AK3" s="26"/>
      <c r="AL3" s="26"/>
      <c r="AM3" s="26"/>
      <c r="AN3" s="26"/>
      <c r="AO3" s="26"/>
      <c r="AP3" s="26"/>
      <c r="AQ3" s="26"/>
      <c r="AR3" s="26"/>
      <c r="AS3" s="26"/>
      <c r="AT3" s="26"/>
      <c r="AU3" s="26"/>
      <c r="AV3" s="26"/>
      <c r="AW3" s="26"/>
      <c r="AX3" s="26"/>
      <c r="AY3" s="38"/>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38"/>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row>
    <row r="4" spans="1:104" ht="12.75" customHeight="1" x14ac:dyDescent="0.2">
      <c r="A4" s="26"/>
      <c r="B4" s="26" t="s">
        <v>32</v>
      </c>
      <c r="C4" s="26"/>
      <c r="D4" s="28" t="s">
        <v>27</v>
      </c>
      <c r="E4" s="26"/>
      <c r="F4" s="26"/>
      <c r="G4" s="26"/>
      <c r="H4" s="26"/>
      <c r="I4" s="26"/>
      <c r="J4" s="26"/>
      <c r="K4" s="26"/>
      <c r="L4" s="26"/>
      <c r="M4" s="26"/>
      <c r="N4" s="26"/>
      <c r="O4" s="26"/>
      <c r="P4" s="26"/>
      <c r="Q4" s="26"/>
      <c r="R4" s="26"/>
      <c r="S4" s="26"/>
      <c r="T4" s="26"/>
      <c r="U4" s="26"/>
      <c r="V4" s="26"/>
      <c r="W4" s="26"/>
      <c r="X4" s="26"/>
      <c r="Y4" s="26"/>
      <c r="Z4" s="38"/>
      <c r="AA4" s="26" t="s">
        <v>32</v>
      </c>
      <c r="AB4" s="26"/>
      <c r="AC4" s="28" t="s">
        <v>27</v>
      </c>
      <c r="AD4" s="26"/>
      <c r="AE4" s="26"/>
      <c r="AF4" s="26"/>
      <c r="AG4" s="26"/>
      <c r="AH4" s="26"/>
      <c r="AI4" s="26"/>
      <c r="AJ4" s="26"/>
      <c r="AK4" s="26"/>
      <c r="AL4" s="26"/>
      <c r="AM4" s="26"/>
      <c r="AN4" s="26"/>
      <c r="AO4" s="26"/>
      <c r="AP4" s="26"/>
      <c r="AQ4" s="26"/>
      <c r="AR4" s="26"/>
      <c r="AS4" s="26"/>
      <c r="AT4" s="26"/>
      <c r="AU4" s="26"/>
      <c r="AV4" s="26"/>
      <c r="AW4" s="26"/>
      <c r="AX4" s="26"/>
      <c r="AY4" s="38"/>
      <c r="AZ4" s="26" t="s">
        <v>32</v>
      </c>
      <c r="BA4" s="26"/>
      <c r="BB4" s="28" t="s">
        <v>27</v>
      </c>
      <c r="BC4" s="26"/>
      <c r="BD4" s="26"/>
      <c r="BE4" s="26"/>
      <c r="BF4" s="26"/>
      <c r="BG4" s="26"/>
      <c r="BH4" s="26"/>
      <c r="BI4" s="26"/>
      <c r="BJ4" s="26"/>
      <c r="BK4" s="26"/>
      <c r="BL4" s="26"/>
      <c r="BM4" s="26"/>
      <c r="BN4" s="26"/>
      <c r="BO4" s="26"/>
      <c r="BP4" s="26"/>
      <c r="BQ4" s="26"/>
      <c r="BR4" s="26"/>
      <c r="BS4" s="26"/>
      <c r="BT4" s="26"/>
      <c r="BU4" s="26"/>
      <c r="BV4" s="26"/>
      <c r="BW4" s="26"/>
      <c r="BX4" s="26"/>
      <c r="BY4" s="26"/>
      <c r="BZ4" s="38"/>
      <c r="CA4" s="26" t="s">
        <v>32</v>
      </c>
      <c r="CB4" s="26"/>
      <c r="CC4" s="28" t="s">
        <v>27</v>
      </c>
      <c r="CD4" s="26"/>
      <c r="CE4" s="26"/>
      <c r="CF4" s="26"/>
      <c r="CG4" s="26"/>
      <c r="CH4" s="26"/>
      <c r="CI4" s="26"/>
      <c r="CJ4" s="26"/>
      <c r="CK4" s="26"/>
      <c r="CL4" s="26"/>
      <c r="CM4" s="26"/>
      <c r="CN4" s="26"/>
      <c r="CO4" s="26"/>
      <c r="CP4" s="26"/>
      <c r="CQ4" s="26"/>
      <c r="CR4" s="26"/>
      <c r="CS4" s="26"/>
      <c r="CT4" s="26"/>
      <c r="CU4" s="26"/>
      <c r="CV4" s="26"/>
      <c r="CW4" s="26"/>
      <c r="CX4" s="26"/>
      <c r="CY4" s="26"/>
      <c r="CZ4" s="26"/>
    </row>
    <row r="5" spans="1:104" ht="12.75" customHeight="1" thickBot="1" x14ac:dyDescent="0.25">
      <c r="A5" s="26"/>
      <c r="B5" s="26"/>
      <c r="C5" s="26"/>
      <c r="D5" s="26"/>
      <c r="E5" s="22">
        <v>1</v>
      </c>
      <c r="F5" s="22">
        <v>2</v>
      </c>
      <c r="G5" s="22">
        <v>3</v>
      </c>
      <c r="H5" s="22">
        <v>4</v>
      </c>
      <c r="I5" s="22">
        <v>5</v>
      </c>
      <c r="J5" s="22">
        <v>6</v>
      </c>
      <c r="K5" s="22">
        <v>7</v>
      </c>
      <c r="L5" s="22">
        <v>8</v>
      </c>
      <c r="M5" s="22">
        <v>9</v>
      </c>
      <c r="N5" s="26"/>
      <c r="O5" s="27" t="s">
        <v>46</v>
      </c>
      <c r="P5" s="26"/>
      <c r="Q5" s="26"/>
      <c r="R5" s="26"/>
      <c r="S5" s="26"/>
      <c r="T5" s="26"/>
      <c r="U5" s="26"/>
      <c r="V5" s="26"/>
      <c r="W5" s="26"/>
      <c r="X5" s="26"/>
      <c r="Y5" s="26"/>
      <c r="Z5" s="38"/>
      <c r="AA5" s="26"/>
      <c r="AB5" s="26"/>
      <c r="AC5" s="26"/>
      <c r="AD5" s="22">
        <v>1</v>
      </c>
      <c r="AE5" s="22">
        <v>2</v>
      </c>
      <c r="AF5" s="22">
        <v>3</v>
      </c>
      <c r="AG5" s="22">
        <v>4</v>
      </c>
      <c r="AH5" s="22">
        <v>5</v>
      </c>
      <c r="AI5" s="22">
        <v>6</v>
      </c>
      <c r="AJ5" s="22">
        <v>7</v>
      </c>
      <c r="AK5" s="22">
        <v>8</v>
      </c>
      <c r="AL5" s="22">
        <v>9</v>
      </c>
      <c r="AM5" s="26"/>
      <c r="AN5" s="27" t="s">
        <v>35</v>
      </c>
      <c r="AO5" s="26"/>
      <c r="AP5" s="26"/>
      <c r="AQ5" s="26"/>
      <c r="AR5" s="26"/>
      <c r="AS5" s="26"/>
      <c r="AT5" s="26"/>
      <c r="AU5" s="26"/>
      <c r="AV5" s="26"/>
      <c r="AW5" s="26"/>
      <c r="AX5" s="26"/>
      <c r="AY5" s="38"/>
      <c r="AZ5" s="26"/>
      <c r="BA5" s="26"/>
      <c r="BB5" s="26"/>
      <c r="BC5" s="22">
        <v>1</v>
      </c>
      <c r="BD5" s="22">
        <v>2</v>
      </c>
      <c r="BE5" s="22">
        <v>3</v>
      </c>
      <c r="BF5" s="22">
        <v>4</v>
      </c>
      <c r="BG5" s="22">
        <v>5</v>
      </c>
      <c r="BH5" s="22">
        <v>6</v>
      </c>
      <c r="BI5" s="22">
        <v>7</v>
      </c>
      <c r="BJ5" s="22">
        <v>8</v>
      </c>
      <c r="BK5" s="22">
        <v>9</v>
      </c>
      <c r="BL5" s="26"/>
      <c r="BM5" s="27" t="s">
        <v>35</v>
      </c>
      <c r="BN5" s="26"/>
      <c r="BO5" s="26"/>
      <c r="BP5" s="26"/>
      <c r="BQ5" s="26"/>
      <c r="BR5" s="26"/>
      <c r="BS5" s="26"/>
      <c r="BT5" s="26"/>
      <c r="BU5" s="26"/>
      <c r="BV5" s="26"/>
      <c r="BW5" s="26"/>
      <c r="BX5" s="26"/>
      <c r="BY5" s="26"/>
      <c r="BZ5" s="38"/>
      <c r="CA5" s="26"/>
      <c r="CB5" s="26"/>
      <c r="CC5" s="26"/>
      <c r="CD5" s="22">
        <v>1</v>
      </c>
      <c r="CE5" s="22">
        <v>2</v>
      </c>
      <c r="CF5" s="22">
        <v>3</v>
      </c>
      <c r="CG5" s="22">
        <v>4</v>
      </c>
      <c r="CH5" s="22">
        <v>5</v>
      </c>
      <c r="CI5" s="22">
        <v>6</v>
      </c>
      <c r="CJ5" s="22">
        <v>7</v>
      </c>
      <c r="CK5" s="22">
        <v>8</v>
      </c>
      <c r="CL5" s="22">
        <v>9</v>
      </c>
      <c r="CM5" s="26"/>
      <c r="CN5" s="27" t="s">
        <v>35</v>
      </c>
      <c r="CO5" s="26"/>
      <c r="CP5" s="26"/>
      <c r="CQ5" s="26"/>
      <c r="CR5" s="26"/>
      <c r="CS5" s="26"/>
      <c r="CT5" s="26"/>
      <c r="CU5" s="26"/>
      <c r="CV5" s="26"/>
      <c r="CW5" s="26"/>
      <c r="CX5" s="26"/>
      <c r="CY5" s="26"/>
      <c r="CZ5" s="26"/>
    </row>
    <row r="6" spans="1:104" ht="12.75" customHeight="1" x14ac:dyDescent="0.2">
      <c r="A6" s="26"/>
      <c r="B6" s="26"/>
      <c r="C6" s="26"/>
      <c r="D6" s="22">
        <v>1</v>
      </c>
      <c r="E6" s="29"/>
      <c r="F6" s="30"/>
      <c r="G6" s="31"/>
      <c r="H6" s="29"/>
      <c r="I6" s="30"/>
      <c r="J6" s="31"/>
      <c r="K6" s="29">
        <v>2</v>
      </c>
      <c r="L6" s="30">
        <v>8</v>
      </c>
      <c r="M6" s="31"/>
      <c r="N6" s="26"/>
      <c r="O6" s="26"/>
      <c r="P6" s="26"/>
      <c r="Q6" s="26"/>
      <c r="R6" s="26"/>
      <c r="S6" s="26"/>
      <c r="T6" s="26"/>
      <c r="U6" s="26"/>
      <c r="V6" s="26"/>
      <c r="W6" s="26"/>
      <c r="X6" s="26"/>
      <c r="Y6" s="26"/>
      <c r="Z6" s="38"/>
      <c r="AA6" s="26"/>
      <c r="AB6" s="26"/>
      <c r="AC6" s="22">
        <v>1</v>
      </c>
      <c r="AD6" s="29"/>
      <c r="AE6" s="30">
        <v>7</v>
      </c>
      <c r="AF6" s="31"/>
      <c r="AG6" s="29"/>
      <c r="AH6" s="30"/>
      <c r="AI6" s="31"/>
      <c r="AJ6" s="29">
        <v>6</v>
      </c>
      <c r="AK6" s="30">
        <v>9</v>
      </c>
      <c r="AL6" s="31">
        <v>1</v>
      </c>
      <c r="AM6" s="26"/>
      <c r="AN6" s="26"/>
      <c r="AO6" s="26"/>
      <c r="AP6" s="26"/>
      <c r="AQ6" s="26"/>
      <c r="AR6" s="26"/>
      <c r="AS6" s="26"/>
      <c r="AT6" s="26"/>
      <c r="AU6" s="26"/>
      <c r="AV6" s="26"/>
      <c r="AW6" s="26"/>
      <c r="AX6" s="26"/>
      <c r="AY6" s="38"/>
      <c r="AZ6" s="26"/>
      <c r="BA6" s="26"/>
      <c r="BB6" s="22">
        <v>1</v>
      </c>
      <c r="BC6" s="29"/>
      <c r="BD6" s="30"/>
      <c r="BE6" s="31"/>
      <c r="BF6" s="29"/>
      <c r="BG6" s="30"/>
      <c r="BH6" s="31"/>
      <c r="BI6" s="29">
        <v>5</v>
      </c>
      <c r="BJ6" s="30"/>
      <c r="BK6" s="31"/>
      <c r="BL6" s="26"/>
      <c r="BM6" s="26"/>
      <c r="BN6" s="26"/>
      <c r="BO6" s="26"/>
      <c r="BP6" s="26"/>
      <c r="BQ6" s="26"/>
      <c r="BR6" s="26"/>
      <c r="BS6" s="26"/>
      <c r="BT6" s="26"/>
      <c r="BU6" s="26"/>
      <c r="BV6" s="26"/>
      <c r="BW6" s="26"/>
      <c r="BX6" s="26"/>
      <c r="BY6" s="26"/>
      <c r="BZ6" s="38"/>
      <c r="CA6" s="26"/>
      <c r="CB6" s="26"/>
      <c r="CC6" s="22">
        <v>1</v>
      </c>
      <c r="CD6" s="29"/>
      <c r="CE6" s="30"/>
      <c r="CF6" s="31"/>
      <c r="CG6" s="29">
        <v>5</v>
      </c>
      <c r="CH6" s="30">
        <v>6</v>
      </c>
      <c r="CI6" s="31">
        <v>7</v>
      </c>
      <c r="CJ6" s="29"/>
      <c r="CK6" s="30"/>
      <c r="CL6" s="31"/>
      <c r="CM6" s="26"/>
      <c r="CN6" s="26"/>
      <c r="CO6" s="26"/>
      <c r="CP6" s="26"/>
      <c r="CQ6" s="26"/>
      <c r="CR6" s="26"/>
      <c r="CS6" s="26"/>
      <c r="CT6" s="26"/>
      <c r="CU6" s="26"/>
      <c r="CV6" s="26"/>
      <c r="CW6" s="26"/>
      <c r="CX6" s="26"/>
      <c r="CY6" s="26"/>
      <c r="CZ6" s="26"/>
    </row>
    <row r="7" spans="1:104" ht="12.75" customHeight="1" x14ac:dyDescent="0.2">
      <c r="A7" s="26"/>
      <c r="B7" s="26"/>
      <c r="C7" s="26"/>
      <c r="D7" s="22">
        <v>2</v>
      </c>
      <c r="E7" s="32">
        <v>7</v>
      </c>
      <c r="F7" s="33"/>
      <c r="G7" s="34"/>
      <c r="H7" s="32">
        <v>4</v>
      </c>
      <c r="I7" s="33">
        <v>5</v>
      </c>
      <c r="J7" s="34">
        <v>1</v>
      </c>
      <c r="K7" s="32"/>
      <c r="L7" s="33">
        <v>9</v>
      </c>
      <c r="M7" s="34">
        <v>3</v>
      </c>
      <c r="N7" s="26"/>
      <c r="O7" s="26"/>
      <c r="P7" s="26"/>
      <c r="Q7" s="26"/>
      <c r="R7" s="26"/>
      <c r="S7" s="26"/>
      <c r="T7" s="26"/>
      <c r="U7" s="26"/>
      <c r="V7" s="26"/>
      <c r="W7" s="26"/>
      <c r="X7" s="26"/>
      <c r="Y7" s="26"/>
      <c r="Z7" s="38"/>
      <c r="AA7" s="26"/>
      <c r="AB7" s="26"/>
      <c r="AC7" s="22">
        <v>2</v>
      </c>
      <c r="AD7" s="32"/>
      <c r="AE7" s="33"/>
      <c r="AF7" s="34"/>
      <c r="AG7" s="32"/>
      <c r="AH7" s="33"/>
      <c r="AI7" s="34">
        <v>9</v>
      </c>
      <c r="AJ7" s="32"/>
      <c r="AK7" s="33">
        <v>3</v>
      </c>
      <c r="AL7" s="34"/>
      <c r="AM7" s="26"/>
      <c r="AN7" s="26"/>
      <c r="AO7" s="26"/>
      <c r="AP7" s="26"/>
      <c r="AQ7" s="26"/>
      <c r="AR7" s="26"/>
      <c r="AS7" s="26"/>
      <c r="AT7" s="26"/>
      <c r="AU7" s="26"/>
      <c r="AV7" s="26"/>
      <c r="AW7" s="26"/>
      <c r="AX7" s="26"/>
      <c r="AY7" s="38"/>
      <c r="AZ7" s="26"/>
      <c r="BA7" s="26"/>
      <c r="BB7" s="22">
        <v>2</v>
      </c>
      <c r="BC7" s="32"/>
      <c r="BD7" s="33"/>
      <c r="BE7" s="34">
        <v>7</v>
      </c>
      <c r="BF7" s="32"/>
      <c r="BG7" s="33">
        <v>9</v>
      </c>
      <c r="BH7" s="34">
        <v>3</v>
      </c>
      <c r="BI7" s="32"/>
      <c r="BJ7" s="33"/>
      <c r="BK7" s="34">
        <v>1</v>
      </c>
      <c r="BL7" s="26"/>
      <c r="BM7" s="26"/>
      <c r="BN7" s="26"/>
      <c r="BO7" s="26"/>
      <c r="BP7" s="26"/>
      <c r="BQ7" s="26"/>
      <c r="BR7" s="26"/>
      <c r="BS7" s="26"/>
      <c r="BT7" s="26"/>
      <c r="BU7" s="26"/>
      <c r="BV7" s="26"/>
      <c r="BW7" s="26"/>
      <c r="BX7" s="26"/>
      <c r="BY7" s="26"/>
      <c r="BZ7" s="38"/>
      <c r="CA7" s="26"/>
      <c r="CB7" s="26"/>
      <c r="CC7" s="22">
        <v>2</v>
      </c>
      <c r="CD7" s="32"/>
      <c r="CE7" s="33"/>
      <c r="CF7" s="34">
        <v>1</v>
      </c>
      <c r="CG7" s="32"/>
      <c r="CH7" s="33"/>
      <c r="CI7" s="34"/>
      <c r="CJ7" s="32"/>
      <c r="CK7" s="33"/>
      <c r="CL7" s="34">
        <v>4</v>
      </c>
      <c r="CM7" s="26"/>
      <c r="CN7" s="26"/>
      <c r="CO7" s="26"/>
      <c r="CP7" s="26"/>
      <c r="CQ7" s="26"/>
      <c r="CR7" s="26"/>
      <c r="CS7" s="26"/>
      <c r="CT7" s="26"/>
      <c r="CU7" s="26"/>
      <c r="CV7" s="26"/>
      <c r="CW7" s="26"/>
      <c r="CX7" s="26"/>
      <c r="CY7" s="26"/>
      <c r="CZ7" s="26"/>
    </row>
    <row r="8" spans="1:104" ht="12.75" customHeight="1" thickBot="1" x14ac:dyDescent="0.25">
      <c r="A8" s="26"/>
      <c r="B8" s="26"/>
      <c r="C8" s="26"/>
      <c r="D8" s="22">
        <v>3</v>
      </c>
      <c r="E8" s="35"/>
      <c r="F8" s="36">
        <v>9</v>
      </c>
      <c r="G8" s="37">
        <v>3</v>
      </c>
      <c r="H8" s="35"/>
      <c r="I8" s="36"/>
      <c r="J8" s="37"/>
      <c r="K8" s="35"/>
      <c r="L8" s="36"/>
      <c r="M8" s="37">
        <v>4</v>
      </c>
      <c r="N8" s="26"/>
      <c r="O8" s="26"/>
      <c r="P8" s="26"/>
      <c r="Q8" s="26"/>
      <c r="R8" s="26"/>
      <c r="S8" s="26"/>
      <c r="T8" s="26"/>
      <c r="U8" s="26"/>
      <c r="V8" s="26"/>
      <c r="W8" s="26"/>
      <c r="X8" s="26"/>
      <c r="Y8" s="26"/>
      <c r="Z8" s="38"/>
      <c r="AA8" s="26"/>
      <c r="AB8" s="26"/>
      <c r="AC8" s="22">
        <v>3</v>
      </c>
      <c r="AD8" s="35"/>
      <c r="AE8" s="36"/>
      <c r="AF8" s="37"/>
      <c r="AG8" s="35">
        <v>6</v>
      </c>
      <c r="AH8" s="36">
        <v>7</v>
      </c>
      <c r="AI8" s="37">
        <v>5</v>
      </c>
      <c r="AJ8" s="35"/>
      <c r="AK8" s="36"/>
      <c r="AL8" s="37"/>
      <c r="AM8" s="26"/>
      <c r="AN8" s="26"/>
      <c r="AO8" s="26"/>
      <c r="AP8" s="26"/>
      <c r="AQ8" s="26"/>
      <c r="AR8" s="26"/>
      <c r="AS8" s="26"/>
      <c r="AT8" s="26"/>
      <c r="AU8" s="26"/>
      <c r="AV8" s="26"/>
      <c r="AW8" s="26"/>
      <c r="AX8" s="26"/>
      <c r="AY8" s="38"/>
      <c r="AZ8" s="26"/>
      <c r="BA8" s="26"/>
      <c r="BB8" s="22">
        <v>3</v>
      </c>
      <c r="BC8" s="35"/>
      <c r="BD8" s="36"/>
      <c r="BE8" s="37">
        <v>4</v>
      </c>
      <c r="BF8" s="35"/>
      <c r="BG8" s="36"/>
      <c r="BH8" s="37"/>
      <c r="BI8" s="35"/>
      <c r="BJ8" s="36">
        <v>6</v>
      </c>
      <c r="BK8" s="37">
        <v>2</v>
      </c>
      <c r="BL8" s="26"/>
      <c r="BM8" s="26"/>
      <c r="BN8" s="26"/>
      <c r="BO8" s="26"/>
      <c r="BP8" s="26"/>
      <c r="BQ8" s="26"/>
      <c r="BR8" s="26"/>
      <c r="BS8" s="26"/>
      <c r="BT8" s="26"/>
      <c r="BU8" s="26"/>
      <c r="BV8" s="26"/>
      <c r="BW8" s="26"/>
      <c r="BX8" s="26"/>
      <c r="BY8" s="26"/>
      <c r="BZ8" s="38"/>
      <c r="CA8" s="26"/>
      <c r="CB8" s="26"/>
      <c r="CC8" s="22">
        <v>3</v>
      </c>
      <c r="CD8" s="35"/>
      <c r="CE8" s="36"/>
      <c r="CF8" s="37"/>
      <c r="CG8" s="35"/>
      <c r="CH8" s="36"/>
      <c r="CI8" s="37"/>
      <c r="CJ8" s="35">
        <v>8</v>
      </c>
      <c r="CK8" s="36">
        <v>9</v>
      </c>
      <c r="CL8" s="37"/>
      <c r="CM8" s="26"/>
      <c r="CN8" s="26"/>
      <c r="CO8" s="26"/>
      <c r="CP8" s="26"/>
      <c r="CQ8" s="26"/>
      <c r="CR8" s="26"/>
      <c r="CS8" s="26"/>
      <c r="CT8" s="26"/>
      <c r="CU8" s="26"/>
      <c r="CV8" s="26"/>
      <c r="CW8" s="26"/>
      <c r="CX8" s="26"/>
      <c r="CY8" s="26"/>
      <c r="CZ8" s="26"/>
    </row>
    <row r="9" spans="1:104" ht="12.75" customHeight="1" x14ac:dyDescent="0.2">
      <c r="A9" s="26"/>
      <c r="B9" s="26"/>
      <c r="C9" s="26"/>
      <c r="D9" s="22">
        <v>4</v>
      </c>
      <c r="E9" s="29"/>
      <c r="F9" s="30"/>
      <c r="G9" s="31">
        <v>5</v>
      </c>
      <c r="H9" s="29">
        <v>8</v>
      </c>
      <c r="I9" s="30"/>
      <c r="J9" s="31">
        <v>3</v>
      </c>
      <c r="K9" s="29"/>
      <c r="L9" s="30"/>
      <c r="M9" s="31">
        <v>6</v>
      </c>
      <c r="N9" s="26"/>
      <c r="O9" s="26"/>
      <c r="P9" s="26"/>
      <c r="Q9" s="26"/>
      <c r="R9" s="26"/>
      <c r="S9" s="26"/>
      <c r="T9" s="26"/>
      <c r="U9" s="26"/>
      <c r="V9" s="26"/>
      <c r="W9" s="26"/>
      <c r="X9" s="26"/>
      <c r="Y9" s="26"/>
      <c r="Z9" s="38"/>
      <c r="AA9" s="26"/>
      <c r="AB9" s="26"/>
      <c r="AC9" s="22">
        <v>4</v>
      </c>
      <c r="AD9" s="29"/>
      <c r="AE9" s="30"/>
      <c r="AF9" s="31"/>
      <c r="AG9" s="29"/>
      <c r="AH9" s="30">
        <v>9</v>
      </c>
      <c r="AI9" s="31"/>
      <c r="AJ9" s="29"/>
      <c r="AK9" s="30"/>
      <c r="AL9" s="31">
        <v>4</v>
      </c>
      <c r="AM9" s="26"/>
      <c r="AN9" s="26"/>
      <c r="AO9" s="26"/>
      <c r="AP9" s="26"/>
      <c r="AQ9" s="26"/>
      <c r="AR9" s="26"/>
      <c r="AS9" s="26"/>
      <c r="AT9" s="26"/>
      <c r="AU9" s="26"/>
      <c r="AV9" s="26"/>
      <c r="AW9" s="26"/>
      <c r="AX9" s="26"/>
      <c r="AY9" s="38"/>
      <c r="AZ9" s="26"/>
      <c r="BA9" s="26"/>
      <c r="BB9" s="22">
        <v>4</v>
      </c>
      <c r="BC9" s="29"/>
      <c r="BD9" s="30"/>
      <c r="BE9" s="31"/>
      <c r="BF9" s="29">
        <v>2</v>
      </c>
      <c r="BG9" s="30"/>
      <c r="BH9" s="31">
        <v>4</v>
      </c>
      <c r="BI9" s="29"/>
      <c r="BJ9" s="30">
        <v>1</v>
      </c>
      <c r="BK9" s="31">
        <v>8</v>
      </c>
      <c r="BL9" s="26"/>
      <c r="BM9" s="26"/>
      <c r="BN9" s="26"/>
      <c r="BO9" s="26"/>
      <c r="BP9" s="26"/>
      <c r="BQ9" s="26"/>
      <c r="BR9" s="26"/>
      <c r="BS9" s="26"/>
      <c r="BT9" s="26"/>
      <c r="BU9" s="26"/>
      <c r="BV9" s="26"/>
      <c r="BW9" s="26"/>
      <c r="BX9" s="26"/>
      <c r="BY9" s="26"/>
      <c r="BZ9" s="38"/>
      <c r="CA9" s="26"/>
      <c r="CB9" s="26"/>
      <c r="CC9" s="22">
        <v>4</v>
      </c>
      <c r="CD9" s="29"/>
      <c r="CE9" s="30">
        <v>5</v>
      </c>
      <c r="CF9" s="31"/>
      <c r="CG9" s="29">
        <v>9</v>
      </c>
      <c r="CH9" s="30"/>
      <c r="CI9" s="31"/>
      <c r="CJ9" s="29"/>
      <c r="CK9" s="30">
        <v>1</v>
      </c>
      <c r="CL9" s="31"/>
      <c r="CM9" s="26"/>
      <c r="CN9" s="26"/>
      <c r="CO9" s="26"/>
      <c r="CP9" s="26"/>
      <c r="CQ9" s="26"/>
      <c r="CR9" s="26"/>
      <c r="CS9" s="26"/>
      <c r="CT9" s="26"/>
      <c r="CU9" s="26"/>
      <c r="CV9" s="26"/>
      <c r="CW9" s="26"/>
      <c r="CX9" s="26"/>
      <c r="CY9" s="26"/>
      <c r="CZ9" s="26"/>
    </row>
    <row r="10" spans="1:104" ht="12.75" customHeight="1" x14ac:dyDescent="0.2">
      <c r="A10" s="26"/>
      <c r="B10" s="26"/>
      <c r="C10" s="26"/>
      <c r="D10" s="22">
        <v>5</v>
      </c>
      <c r="E10" s="32"/>
      <c r="F10" s="33"/>
      <c r="G10" s="34">
        <v>8</v>
      </c>
      <c r="H10" s="32"/>
      <c r="I10" s="33"/>
      <c r="J10" s="34"/>
      <c r="K10" s="32">
        <v>1</v>
      </c>
      <c r="L10" s="33"/>
      <c r="M10" s="34"/>
      <c r="N10" s="26"/>
      <c r="O10" s="26"/>
      <c r="P10" s="26"/>
      <c r="Q10" s="26"/>
      <c r="R10" s="26"/>
      <c r="S10" s="26"/>
      <c r="T10" s="26"/>
      <c r="U10" s="26"/>
      <c r="V10" s="26"/>
      <c r="W10" s="26"/>
      <c r="X10" s="26"/>
      <c r="Y10" s="26"/>
      <c r="Z10" s="38"/>
      <c r="AA10" s="26"/>
      <c r="AB10" s="26"/>
      <c r="AC10" s="22">
        <v>5</v>
      </c>
      <c r="AD10" s="32"/>
      <c r="AE10" s="33"/>
      <c r="AF10" s="34">
        <v>6</v>
      </c>
      <c r="AG10" s="32"/>
      <c r="AH10" s="33"/>
      <c r="AI10" s="34"/>
      <c r="AJ10" s="32">
        <v>2</v>
      </c>
      <c r="AK10" s="33"/>
      <c r="AL10" s="34"/>
      <c r="AM10" s="26"/>
      <c r="AN10" s="26"/>
      <c r="AO10" s="26"/>
      <c r="AP10" s="26"/>
      <c r="AQ10" s="26"/>
      <c r="AR10" s="26"/>
      <c r="AS10" s="26"/>
      <c r="AT10" s="26"/>
      <c r="AU10" s="26"/>
      <c r="AV10" s="26"/>
      <c r="AW10" s="26"/>
      <c r="AX10" s="26"/>
      <c r="AY10" s="38"/>
      <c r="AZ10" s="26"/>
      <c r="BA10" s="26"/>
      <c r="BB10" s="22">
        <v>5</v>
      </c>
      <c r="BC10" s="32">
        <v>1</v>
      </c>
      <c r="BD10" s="33"/>
      <c r="BE10" s="34"/>
      <c r="BF10" s="32"/>
      <c r="BG10" s="33"/>
      <c r="BH10" s="34"/>
      <c r="BI10" s="32"/>
      <c r="BJ10" s="33">
        <v>5</v>
      </c>
      <c r="BK10" s="34">
        <v>3</v>
      </c>
      <c r="BL10" s="26"/>
      <c r="BM10" s="26"/>
      <c r="BN10" s="26"/>
      <c r="BO10" s="26"/>
      <c r="BP10" s="26"/>
      <c r="BQ10" s="26"/>
      <c r="BR10" s="26"/>
      <c r="BS10" s="26"/>
      <c r="BT10" s="26"/>
      <c r="BU10" s="26"/>
      <c r="BV10" s="26"/>
      <c r="BW10" s="26"/>
      <c r="BX10" s="26"/>
      <c r="BY10" s="26"/>
      <c r="BZ10" s="38"/>
      <c r="CA10" s="26"/>
      <c r="CB10" s="26"/>
      <c r="CC10" s="22">
        <v>5</v>
      </c>
      <c r="CD10" s="32">
        <v>3</v>
      </c>
      <c r="CE10" s="33">
        <v>9</v>
      </c>
      <c r="CF10" s="34"/>
      <c r="CG10" s="32"/>
      <c r="CH10" s="33"/>
      <c r="CI10" s="34"/>
      <c r="CJ10" s="32"/>
      <c r="CK10" s="33">
        <v>7</v>
      </c>
      <c r="CL10" s="34">
        <v>2</v>
      </c>
      <c r="CM10" s="26"/>
      <c r="CN10" s="26"/>
      <c r="CO10" s="26"/>
      <c r="CP10" s="26"/>
      <c r="CQ10" s="26"/>
      <c r="CR10" s="26"/>
      <c r="CS10" s="26"/>
      <c r="CT10" s="26"/>
      <c r="CU10" s="26"/>
      <c r="CV10" s="26"/>
      <c r="CW10" s="26"/>
      <c r="CX10" s="26"/>
      <c r="CY10" s="26"/>
      <c r="CZ10" s="26"/>
    </row>
    <row r="11" spans="1:104" ht="12.75" customHeight="1" thickBot="1" x14ac:dyDescent="0.25">
      <c r="A11" s="26"/>
      <c r="B11" s="26"/>
      <c r="C11" s="26"/>
      <c r="D11" s="22">
        <v>6</v>
      </c>
      <c r="E11" s="35">
        <v>9</v>
      </c>
      <c r="F11" s="36"/>
      <c r="G11" s="37"/>
      <c r="H11" s="35">
        <v>7</v>
      </c>
      <c r="I11" s="36"/>
      <c r="J11" s="37">
        <v>2</v>
      </c>
      <c r="K11" s="35">
        <v>3</v>
      </c>
      <c r="L11" s="36"/>
      <c r="M11" s="37"/>
      <c r="N11" s="26"/>
      <c r="O11" s="26"/>
      <c r="P11" s="26"/>
      <c r="Q11" s="26"/>
      <c r="R11" s="26"/>
      <c r="S11" s="26"/>
      <c r="T11" s="26"/>
      <c r="U11" s="26"/>
      <c r="V11" s="26"/>
      <c r="W11" s="26"/>
      <c r="X11" s="26"/>
      <c r="Y11" s="26"/>
      <c r="Z11" s="38"/>
      <c r="AA11" s="26"/>
      <c r="AB11" s="26"/>
      <c r="AC11" s="22">
        <v>6</v>
      </c>
      <c r="AD11" s="35">
        <v>8</v>
      </c>
      <c r="AE11" s="36"/>
      <c r="AF11" s="37"/>
      <c r="AG11" s="35"/>
      <c r="AH11" s="36">
        <v>3</v>
      </c>
      <c r="AI11" s="37"/>
      <c r="AJ11" s="35"/>
      <c r="AK11" s="36"/>
      <c r="AL11" s="37"/>
      <c r="AM11" s="26"/>
      <c r="AN11" s="26"/>
      <c r="AO11" s="26"/>
      <c r="AP11" s="26"/>
      <c r="AQ11" s="26"/>
      <c r="AR11" s="26"/>
      <c r="AS11" s="26"/>
      <c r="AT11" s="26"/>
      <c r="AU11" s="26"/>
      <c r="AV11" s="26"/>
      <c r="AW11" s="26"/>
      <c r="AX11" s="26"/>
      <c r="AY11" s="38"/>
      <c r="AZ11" s="26"/>
      <c r="BA11" s="26"/>
      <c r="BB11" s="22">
        <v>6</v>
      </c>
      <c r="BC11" s="35">
        <v>6</v>
      </c>
      <c r="BD11" s="36"/>
      <c r="BE11" s="37"/>
      <c r="BF11" s="35">
        <v>1</v>
      </c>
      <c r="BG11" s="36"/>
      <c r="BH11" s="37">
        <v>5</v>
      </c>
      <c r="BI11" s="35"/>
      <c r="BJ11" s="36">
        <v>2</v>
      </c>
      <c r="BK11" s="37"/>
      <c r="BL11" s="26"/>
      <c r="BM11" s="26"/>
      <c r="BN11" s="26"/>
      <c r="BO11" s="26"/>
      <c r="BP11" s="26"/>
      <c r="BQ11" s="26"/>
      <c r="BR11" s="26"/>
      <c r="BS11" s="26"/>
      <c r="BT11" s="26"/>
      <c r="BU11" s="26"/>
      <c r="BV11" s="26"/>
      <c r="BW11" s="26"/>
      <c r="BX11" s="26"/>
      <c r="BY11" s="26"/>
      <c r="BZ11" s="38"/>
      <c r="CA11" s="26"/>
      <c r="CB11" s="26"/>
      <c r="CC11" s="22">
        <v>6</v>
      </c>
      <c r="CD11" s="35"/>
      <c r="CE11" s="36">
        <v>2</v>
      </c>
      <c r="CF11" s="37"/>
      <c r="CG11" s="35"/>
      <c r="CH11" s="36"/>
      <c r="CI11" s="37">
        <v>8</v>
      </c>
      <c r="CJ11" s="35"/>
      <c r="CK11" s="36">
        <v>5</v>
      </c>
      <c r="CL11" s="37"/>
      <c r="CM11" s="26"/>
      <c r="CN11" s="26"/>
      <c r="CO11" s="26"/>
      <c r="CP11" s="26"/>
      <c r="CQ11" s="26"/>
      <c r="CR11" s="26"/>
      <c r="CS11" s="26"/>
      <c r="CT11" s="26"/>
      <c r="CU11" s="26"/>
      <c r="CV11" s="26"/>
      <c r="CW11" s="26"/>
      <c r="CX11" s="26"/>
      <c r="CY11" s="26"/>
      <c r="CZ11" s="26"/>
    </row>
    <row r="12" spans="1:104" ht="12.75" customHeight="1" x14ac:dyDescent="0.2">
      <c r="A12" s="26"/>
      <c r="B12" s="26"/>
      <c r="C12" s="26"/>
      <c r="D12" s="23">
        <v>7</v>
      </c>
      <c r="E12" s="29">
        <v>1</v>
      </c>
      <c r="F12" s="30"/>
      <c r="G12" s="31"/>
      <c r="H12" s="29"/>
      <c r="I12" s="30"/>
      <c r="J12" s="31"/>
      <c r="K12" s="29">
        <v>7</v>
      </c>
      <c r="L12" s="30">
        <v>3</v>
      </c>
      <c r="M12" s="31"/>
      <c r="N12" s="26"/>
      <c r="O12" s="26"/>
      <c r="P12" s="26"/>
      <c r="Q12" s="26"/>
      <c r="R12" s="26"/>
      <c r="S12" s="26"/>
      <c r="T12" s="26"/>
      <c r="U12" s="26"/>
      <c r="V12" s="26"/>
      <c r="W12" s="26"/>
      <c r="X12" s="26"/>
      <c r="Y12" s="26"/>
      <c r="Z12" s="38"/>
      <c r="AA12" s="26"/>
      <c r="AB12" s="26"/>
      <c r="AC12" s="23">
        <v>7</v>
      </c>
      <c r="AD12" s="29"/>
      <c r="AE12" s="30"/>
      <c r="AF12" s="31"/>
      <c r="AG12" s="29">
        <v>8</v>
      </c>
      <c r="AH12" s="30">
        <v>4</v>
      </c>
      <c r="AI12" s="31">
        <v>2</v>
      </c>
      <c r="AJ12" s="29"/>
      <c r="AK12" s="30"/>
      <c r="AL12" s="31"/>
      <c r="AM12" s="26"/>
      <c r="AN12" s="26"/>
      <c r="AO12" s="26"/>
      <c r="AP12" s="26"/>
      <c r="AQ12" s="26"/>
      <c r="AR12" s="26"/>
      <c r="AS12" s="26"/>
      <c r="AT12" s="26"/>
      <c r="AU12" s="26"/>
      <c r="AV12" s="26"/>
      <c r="AW12" s="26"/>
      <c r="AX12" s="26"/>
      <c r="AY12" s="38"/>
      <c r="AZ12" s="26"/>
      <c r="BA12" s="26"/>
      <c r="BB12" s="23">
        <v>7</v>
      </c>
      <c r="BC12" s="29">
        <v>5</v>
      </c>
      <c r="BD12" s="30">
        <v>9</v>
      </c>
      <c r="BE12" s="31"/>
      <c r="BF12" s="29"/>
      <c r="BG12" s="30"/>
      <c r="BH12" s="31"/>
      <c r="BI12" s="29">
        <v>2</v>
      </c>
      <c r="BJ12" s="30"/>
      <c r="BK12" s="31"/>
      <c r="BL12" s="26"/>
      <c r="BM12" s="26"/>
      <c r="BN12" s="26"/>
      <c r="BO12" s="26"/>
      <c r="BP12" s="26"/>
      <c r="BQ12" s="26"/>
      <c r="BR12" s="26"/>
      <c r="BS12" s="26"/>
      <c r="BT12" s="26"/>
      <c r="BU12" s="26"/>
      <c r="BV12" s="26"/>
      <c r="BW12" s="26"/>
      <c r="BX12" s="26"/>
      <c r="BY12" s="26"/>
      <c r="BZ12" s="38"/>
      <c r="CA12" s="26"/>
      <c r="CB12" s="26"/>
      <c r="CC12" s="23">
        <v>7</v>
      </c>
      <c r="CD12" s="29"/>
      <c r="CE12" s="30">
        <v>7</v>
      </c>
      <c r="CF12" s="31">
        <v>9</v>
      </c>
      <c r="CG12" s="29"/>
      <c r="CH12" s="30"/>
      <c r="CI12" s="31"/>
      <c r="CJ12" s="29"/>
      <c r="CK12" s="30"/>
      <c r="CL12" s="31"/>
      <c r="CM12" s="26"/>
      <c r="CN12" s="26"/>
      <c r="CO12" s="26"/>
      <c r="CP12" s="26"/>
      <c r="CQ12" s="26"/>
      <c r="CR12" s="26"/>
      <c r="CS12" s="26"/>
      <c r="CT12" s="26"/>
      <c r="CU12" s="26"/>
      <c r="CV12" s="26"/>
      <c r="CW12" s="26"/>
      <c r="CX12" s="26"/>
      <c r="CY12" s="26"/>
      <c r="CZ12" s="26"/>
    </row>
    <row r="13" spans="1:104" ht="12.75" customHeight="1" x14ac:dyDescent="0.2">
      <c r="A13" s="26"/>
      <c r="B13" s="26"/>
      <c r="C13" s="26"/>
      <c r="D13" s="23">
        <v>8</v>
      </c>
      <c r="E13" s="32">
        <v>8</v>
      </c>
      <c r="F13" s="33">
        <v>3</v>
      </c>
      <c r="G13" s="34"/>
      <c r="H13" s="32">
        <v>1</v>
      </c>
      <c r="I13" s="33">
        <v>6</v>
      </c>
      <c r="J13" s="34">
        <v>9</v>
      </c>
      <c r="K13" s="32"/>
      <c r="L13" s="33"/>
      <c r="M13" s="34">
        <v>5</v>
      </c>
      <c r="N13" s="26"/>
      <c r="O13" s="26"/>
      <c r="P13" s="26"/>
      <c r="Q13" s="26"/>
      <c r="R13" s="26"/>
      <c r="S13" s="26"/>
      <c r="T13" s="26"/>
      <c r="U13" s="26"/>
      <c r="V13" s="26"/>
      <c r="W13" s="26"/>
      <c r="X13" s="26"/>
      <c r="Y13" s="26"/>
      <c r="Z13" s="38"/>
      <c r="AA13" s="26"/>
      <c r="AB13" s="26"/>
      <c r="AC13" s="23">
        <v>8</v>
      </c>
      <c r="AD13" s="32"/>
      <c r="AE13" s="33">
        <v>3</v>
      </c>
      <c r="AF13" s="34"/>
      <c r="AG13" s="32">
        <v>9</v>
      </c>
      <c r="AH13" s="33"/>
      <c r="AI13" s="34"/>
      <c r="AJ13" s="32"/>
      <c r="AK13" s="33"/>
      <c r="AL13" s="34"/>
      <c r="AM13" s="26"/>
      <c r="AN13" s="26"/>
      <c r="AO13" s="26"/>
      <c r="AP13" s="26"/>
      <c r="AQ13" s="26"/>
      <c r="AR13" s="26"/>
      <c r="AS13" s="26"/>
      <c r="AT13" s="26"/>
      <c r="AU13" s="26"/>
      <c r="AV13" s="26"/>
      <c r="AW13" s="26"/>
      <c r="AX13" s="26"/>
      <c r="AY13" s="38"/>
      <c r="AZ13" s="26"/>
      <c r="BA13" s="26"/>
      <c r="BB13" s="23">
        <v>8</v>
      </c>
      <c r="BC13" s="32">
        <v>4</v>
      </c>
      <c r="BD13" s="33"/>
      <c r="BE13" s="34"/>
      <c r="BF13" s="32">
        <v>8</v>
      </c>
      <c r="BG13" s="33">
        <v>7</v>
      </c>
      <c r="BH13" s="34"/>
      <c r="BI13" s="32">
        <v>1</v>
      </c>
      <c r="BJ13" s="33"/>
      <c r="BK13" s="34"/>
      <c r="BL13" s="26"/>
      <c r="BM13" s="26"/>
      <c r="BN13" s="26"/>
      <c r="BO13" s="26"/>
      <c r="BP13" s="26"/>
      <c r="BQ13" s="26"/>
      <c r="BR13" s="26"/>
      <c r="BS13" s="26"/>
      <c r="BT13" s="26"/>
      <c r="BU13" s="26"/>
      <c r="BV13" s="26"/>
      <c r="BW13" s="26"/>
      <c r="BX13" s="26"/>
      <c r="BY13" s="26"/>
      <c r="BZ13" s="38"/>
      <c r="CA13" s="26"/>
      <c r="CB13" s="26"/>
      <c r="CC13" s="23">
        <v>8</v>
      </c>
      <c r="CD13" s="32">
        <v>8</v>
      </c>
      <c r="CE13" s="33"/>
      <c r="CF13" s="34"/>
      <c r="CG13" s="32"/>
      <c r="CH13" s="33"/>
      <c r="CI13" s="34"/>
      <c r="CJ13" s="32">
        <v>6</v>
      </c>
      <c r="CK13" s="33"/>
      <c r="CL13" s="34"/>
      <c r="CM13" s="26"/>
      <c r="CN13" s="26"/>
      <c r="CO13" s="26"/>
      <c r="CP13" s="26"/>
      <c r="CQ13" s="26"/>
      <c r="CR13" s="26"/>
      <c r="CS13" s="26"/>
      <c r="CT13" s="26"/>
      <c r="CU13" s="26"/>
      <c r="CV13" s="26"/>
      <c r="CW13" s="26"/>
      <c r="CX13" s="26"/>
      <c r="CY13" s="26"/>
      <c r="CZ13" s="26"/>
    </row>
    <row r="14" spans="1:104" ht="12.75" customHeight="1" thickBot="1" x14ac:dyDescent="0.25">
      <c r="A14" s="26"/>
      <c r="B14" s="26"/>
      <c r="C14" s="26"/>
      <c r="D14" s="24">
        <v>9</v>
      </c>
      <c r="E14" s="35"/>
      <c r="F14" s="36">
        <v>4</v>
      </c>
      <c r="G14" s="37">
        <v>9</v>
      </c>
      <c r="H14" s="35"/>
      <c r="I14" s="36"/>
      <c r="J14" s="37"/>
      <c r="K14" s="35"/>
      <c r="L14" s="36"/>
      <c r="M14" s="37"/>
      <c r="N14" s="26"/>
      <c r="O14" s="26"/>
      <c r="P14" s="26"/>
      <c r="Q14" s="26"/>
      <c r="R14" s="26"/>
      <c r="S14" s="26"/>
      <c r="T14" s="26"/>
      <c r="U14" s="26"/>
      <c r="V14" s="26"/>
      <c r="W14" s="26"/>
      <c r="X14" s="26"/>
      <c r="Y14" s="26"/>
      <c r="Z14" s="38"/>
      <c r="AA14" s="26"/>
      <c r="AB14" s="26"/>
      <c r="AC14" s="24">
        <v>9</v>
      </c>
      <c r="AD14" s="35">
        <v>9</v>
      </c>
      <c r="AE14" s="36">
        <v>1</v>
      </c>
      <c r="AF14" s="37">
        <v>2</v>
      </c>
      <c r="AG14" s="35"/>
      <c r="AH14" s="36"/>
      <c r="AI14" s="37"/>
      <c r="AJ14" s="35"/>
      <c r="AK14" s="36">
        <v>7</v>
      </c>
      <c r="AL14" s="37"/>
      <c r="AM14" s="26"/>
      <c r="AN14" s="26"/>
      <c r="AO14" s="26"/>
      <c r="AP14" s="26"/>
      <c r="AQ14" s="26"/>
      <c r="AR14" s="26"/>
      <c r="AS14" s="26"/>
      <c r="AT14" s="26"/>
      <c r="AU14" s="26"/>
      <c r="AV14" s="26"/>
      <c r="AW14" s="26"/>
      <c r="AX14" s="26"/>
      <c r="AY14" s="38"/>
      <c r="AZ14" s="26"/>
      <c r="BA14" s="26"/>
      <c r="BB14" s="24">
        <v>9</v>
      </c>
      <c r="BC14" s="35"/>
      <c r="BD14" s="36"/>
      <c r="BE14" s="37"/>
      <c r="BF14" s="35"/>
      <c r="BG14" s="36"/>
      <c r="BH14" s="37"/>
      <c r="BI14" s="35"/>
      <c r="BJ14" s="36"/>
      <c r="BK14" s="37"/>
      <c r="BL14" s="26"/>
      <c r="BM14" s="26"/>
      <c r="BN14" s="26"/>
      <c r="BO14" s="26"/>
      <c r="BP14" s="26"/>
      <c r="BQ14" s="26"/>
      <c r="BR14" s="26"/>
      <c r="BS14" s="26"/>
      <c r="BT14" s="26"/>
      <c r="BU14" s="26"/>
      <c r="BV14" s="26"/>
      <c r="BW14" s="26"/>
      <c r="BX14" s="26"/>
      <c r="BY14" s="26"/>
      <c r="BZ14" s="38"/>
      <c r="CA14" s="26"/>
      <c r="CB14" s="26"/>
      <c r="CC14" s="24">
        <v>9</v>
      </c>
      <c r="CD14" s="35"/>
      <c r="CE14" s="36"/>
      <c r="CF14" s="37"/>
      <c r="CG14" s="35">
        <v>4</v>
      </c>
      <c r="CH14" s="36">
        <v>2</v>
      </c>
      <c r="CI14" s="37">
        <v>3</v>
      </c>
      <c r="CJ14" s="35"/>
      <c r="CK14" s="36"/>
      <c r="CL14" s="37"/>
      <c r="CM14" s="26"/>
      <c r="CN14" s="26"/>
      <c r="CO14" s="26"/>
      <c r="CP14" s="26"/>
      <c r="CQ14" s="26"/>
      <c r="CR14" s="26"/>
      <c r="CS14" s="26"/>
      <c r="CT14" s="26"/>
      <c r="CU14" s="26"/>
      <c r="CV14" s="26"/>
      <c r="CW14" s="26"/>
      <c r="CX14" s="26"/>
      <c r="CY14" s="26"/>
      <c r="CZ14" s="26"/>
    </row>
    <row r="15" spans="1:104" ht="12.75" customHeight="1" x14ac:dyDescent="0.2">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38"/>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38"/>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38"/>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row>
    <row r="16" spans="1:104" ht="12.75" customHeight="1" x14ac:dyDescent="0.2">
      <c r="A16" s="26"/>
      <c r="B16" s="26" t="s">
        <v>33</v>
      </c>
      <c r="C16" s="26"/>
      <c r="D16" s="27" t="s">
        <v>28</v>
      </c>
      <c r="E16" s="26"/>
      <c r="F16" s="26"/>
      <c r="G16" s="26"/>
      <c r="H16" s="26"/>
      <c r="I16" s="26"/>
      <c r="J16" s="26"/>
      <c r="K16" s="26"/>
      <c r="L16" s="26"/>
      <c r="M16" s="26"/>
      <c r="N16" s="26"/>
      <c r="O16" s="26"/>
      <c r="P16" s="26"/>
      <c r="Q16" s="26"/>
      <c r="R16" s="26"/>
      <c r="S16" s="26"/>
      <c r="T16" s="26"/>
      <c r="U16" s="26"/>
      <c r="V16" s="26"/>
      <c r="W16" s="26"/>
      <c r="X16" s="26"/>
      <c r="Y16" s="26"/>
      <c r="Z16" s="38"/>
      <c r="AA16" s="26" t="s">
        <v>33</v>
      </c>
      <c r="AB16" s="26"/>
      <c r="AC16" s="27" t="s">
        <v>28</v>
      </c>
      <c r="AD16" s="26"/>
      <c r="AE16" s="26"/>
      <c r="AF16" s="26"/>
      <c r="AG16" s="26"/>
      <c r="AH16" s="26"/>
      <c r="AI16" s="26"/>
      <c r="AJ16" s="26"/>
      <c r="AK16" s="26"/>
      <c r="AL16" s="26"/>
      <c r="AM16" s="26"/>
      <c r="AN16" s="26"/>
      <c r="AO16" s="26"/>
      <c r="AP16" s="26"/>
      <c r="AQ16" s="26"/>
      <c r="AR16" s="26"/>
      <c r="AS16" s="26"/>
      <c r="AT16" s="26"/>
      <c r="AU16" s="26"/>
      <c r="AV16" s="26"/>
      <c r="AW16" s="26"/>
      <c r="AX16" s="26"/>
      <c r="AY16" s="38"/>
      <c r="AZ16" s="26" t="s">
        <v>33</v>
      </c>
      <c r="BA16" s="26"/>
      <c r="BB16" s="27" t="s">
        <v>28</v>
      </c>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38"/>
      <c r="CA16" s="26" t="s">
        <v>33</v>
      </c>
      <c r="CB16" s="26"/>
      <c r="CC16" s="28" t="s">
        <v>27</v>
      </c>
      <c r="CD16" s="26"/>
      <c r="CE16" s="26"/>
      <c r="CF16" s="26"/>
      <c r="CG16" s="26"/>
      <c r="CH16" s="26"/>
      <c r="CI16" s="26"/>
      <c r="CJ16" s="26"/>
      <c r="CK16" s="26"/>
      <c r="CL16" s="26"/>
      <c r="CM16" s="26"/>
      <c r="CN16" s="26"/>
      <c r="CO16" s="26"/>
      <c r="CP16" s="26"/>
      <c r="CQ16" s="26"/>
      <c r="CR16" s="26"/>
      <c r="CS16" s="26"/>
      <c r="CT16" s="26"/>
      <c r="CU16" s="26"/>
      <c r="CV16" s="26"/>
      <c r="CW16" s="26"/>
      <c r="CX16" s="26"/>
      <c r="CY16" s="26"/>
      <c r="CZ16" s="26"/>
    </row>
    <row r="17" spans="1:104" ht="12.75" customHeight="1" thickBot="1" x14ac:dyDescent="0.25">
      <c r="A17" s="26"/>
      <c r="B17" s="26"/>
      <c r="C17" s="26"/>
      <c r="D17" s="26"/>
      <c r="E17" s="22">
        <v>1</v>
      </c>
      <c r="F17" s="22">
        <v>2</v>
      </c>
      <c r="G17" s="22">
        <v>3</v>
      </c>
      <c r="H17" s="22">
        <v>4</v>
      </c>
      <c r="I17" s="22">
        <v>5</v>
      </c>
      <c r="J17" s="22">
        <v>6</v>
      </c>
      <c r="K17" s="22">
        <v>7</v>
      </c>
      <c r="L17" s="22">
        <v>8</v>
      </c>
      <c r="M17" s="22">
        <v>9</v>
      </c>
      <c r="N17" s="26"/>
      <c r="O17" s="27" t="s">
        <v>37</v>
      </c>
      <c r="P17" s="26"/>
      <c r="Q17" s="26"/>
      <c r="R17" s="26"/>
      <c r="S17" s="26"/>
      <c r="T17" s="26"/>
      <c r="U17" s="26"/>
      <c r="V17" s="26"/>
      <c r="W17" s="26"/>
      <c r="X17" s="26"/>
      <c r="Y17" s="26"/>
      <c r="Z17" s="38"/>
      <c r="AA17" s="26"/>
      <c r="AB17" s="26"/>
      <c r="AC17" s="26"/>
      <c r="AD17" s="22">
        <v>1</v>
      </c>
      <c r="AE17" s="22">
        <v>2</v>
      </c>
      <c r="AF17" s="22">
        <v>3</v>
      </c>
      <c r="AG17" s="22">
        <v>4</v>
      </c>
      <c r="AH17" s="22">
        <v>5</v>
      </c>
      <c r="AI17" s="22">
        <v>6</v>
      </c>
      <c r="AJ17" s="22">
        <v>7</v>
      </c>
      <c r="AK17" s="22">
        <v>8</v>
      </c>
      <c r="AL17" s="22">
        <v>9</v>
      </c>
      <c r="AM17" s="26"/>
      <c r="AN17" s="27" t="s">
        <v>47</v>
      </c>
      <c r="AO17" s="26"/>
      <c r="AP17" s="26"/>
      <c r="AQ17" s="26"/>
      <c r="AR17" s="26"/>
      <c r="AS17" s="26"/>
      <c r="AT17" s="26"/>
      <c r="AU17" s="26"/>
      <c r="AV17" s="26"/>
      <c r="AW17" s="16">
        <v>6</v>
      </c>
      <c r="AX17" s="26"/>
      <c r="AY17" s="38"/>
      <c r="AZ17" s="26"/>
      <c r="BA17" s="26"/>
      <c r="BB17" s="26"/>
      <c r="BC17" s="22">
        <v>1</v>
      </c>
      <c r="BD17" s="22">
        <v>2</v>
      </c>
      <c r="BE17" s="22">
        <v>3</v>
      </c>
      <c r="BF17" s="22">
        <v>4</v>
      </c>
      <c r="BG17" s="22">
        <v>5</v>
      </c>
      <c r="BH17" s="22">
        <v>6</v>
      </c>
      <c r="BI17" s="22">
        <v>7</v>
      </c>
      <c r="BJ17" s="22">
        <v>8</v>
      </c>
      <c r="BK17" s="22">
        <v>9</v>
      </c>
      <c r="BL17" s="26"/>
      <c r="BM17" s="27" t="s">
        <v>47</v>
      </c>
      <c r="BN17" s="26"/>
      <c r="BO17" s="26"/>
      <c r="BP17" s="26"/>
      <c r="BQ17" s="26"/>
      <c r="BR17" s="26"/>
      <c r="BS17" s="26"/>
      <c r="BT17" s="26"/>
      <c r="BU17" s="26"/>
      <c r="BV17" s="16">
        <v>6</v>
      </c>
      <c r="BW17" s="26"/>
      <c r="BX17" s="26"/>
      <c r="BY17" s="26"/>
      <c r="BZ17" s="38"/>
      <c r="CA17" s="26"/>
      <c r="CB17" s="26"/>
      <c r="CC17" s="26"/>
      <c r="CD17" s="22">
        <v>1</v>
      </c>
      <c r="CE17" s="22">
        <v>2</v>
      </c>
      <c r="CF17" s="22">
        <v>3</v>
      </c>
      <c r="CG17" s="22">
        <v>4</v>
      </c>
      <c r="CH17" s="22">
        <v>5</v>
      </c>
      <c r="CI17" s="22">
        <v>6</v>
      </c>
      <c r="CJ17" s="22">
        <v>7</v>
      </c>
      <c r="CK17" s="22">
        <v>8</v>
      </c>
      <c r="CL17" s="22">
        <v>9</v>
      </c>
      <c r="CM17" s="26"/>
      <c r="CN17" s="27" t="s">
        <v>80</v>
      </c>
      <c r="CO17" s="26"/>
      <c r="CP17" s="26"/>
      <c r="CQ17" s="26"/>
      <c r="CR17" s="26"/>
      <c r="CS17" s="26"/>
      <c r="CT17" s="26"/>
      <c r="CU17" s="26"/>
      <c r="CV17" s="26"/>
      <c r="CW17" s="26"/>
      <c r="CX17" s="26"/>
      <c r="CY17" s="26"/>
      <c r="CZ17" s="26"/>
    </row>
    <row r="18" spans="1:104" ht="12.75" customHeight="1" x14ac:dyDescent="0.2">
      <c r="A18" s="26"/>
      <c r="B18" s="26"/>
      <c r="C18" s="26"/>
      <c r="D18" s="24">
        <v>1</v>
      </c>
      <c r="E18" s="13">
        <v>456</v>
      </c>
      <c r="F18" s="14">
        <v>156</v>
      </c>
      <c r="G18" s="17">
        <v>146</v>
      </c>
      <c r="H18" s="13">
        <v>369</v>
      </c>
      <c r="I18" s="14">
        <v>379</v>
      </c>
      <c r="J18" s="17">
        <v>67</v>
      </c>
      <c r="K18" s="13">
        <v>-2</v>
      </c>
      <c r="L18" s="14">
        <v>-8</v>
      </c>
      <c r="M18" s="17">
        <v>17</v>
      </c>
      <c r="N18" s="26"/>
      <c r="O18" s="27" t="s">
        <v>45</v>
      </c>
      <c r="P18" s="26"/>
      <c r="Q18" s="26"/>
      <c r="R18" s="26"/>
      <c r="S18" s="26"/>
      <c r="T18" s="26"/>
      <c r="U18" s="26"/>
      <c r="V18" s="26"/>
      <c r="W18" s="16">
        <v>6</v>
      </c>
      <c r="X18" s="26"/>
      <c r="Y18" s="26"/>
      <c r="Z18" s="38"/>
      <c r="AA18" s="26"/>
      <c r="AB18" s="26"/>
      <c r="AC18" s="24">
        <v>1</v>
      </c>
      <c r="AD18" s="13" t="s">
        <v>34</v>
      </c>
      <c r="AE18" s="14">
        <v>-7</v>
      </c>
      <c r="AF18" s="17" t="s">
        <v>34</v>
      </c>
      <c r="AG18" s="13">
        <v>234</v>
      </c>
      <c r="AH18" s="14">
        <v>28</v>
      </c>
      <c r="AI18" s="17">
        <v>348</v>
      </c>
      <c r="AJ18" s="13">
        <v>-6</v>
      </c>
      <c r="AK18" s="14">
        <v>-9</v>
      </c>
      <c r="AL18" s="17">
        <v>-1</v>
      </c>
      <c r="AM18" s="26"/>
      <c r="AN18" s="27"/>
      <c r="AO18" s="26"/>
      <c r="AP18" s="26"/>
      <c r="AQ18" s="26"/>
      <c r="AR18" s="26"/>
      <c r="AS18" s="26"/>
      <c r="AT18" s="26"/>
      <c r="AU18" s="26"/>
      <c r="AV18" s="26"/>
      <c r="AW18" s="26"/>
      <c r="AX18" s="26"/>
      <c r="AY18" s="38"/>
      <c r="AZ18" s="26"/>
      <c r="BA18" s="26"/>
      <c r="BB18" s="24">
        <v>1</v>
      </c>
      <c r="BC18" s="13" t="s">
        <v>34</v>
      </c>
      <c r="BD18" s="14" t="s">
        <v>34</v>
      </c>
      <c r="BE18" s="17" t="s">
        <v>34</v>
      </c>
      <c r="BF18" s="13">
        <v>467</v>
      </c>
      <c r="BG18" s="14" t="s">
        <v>34</v>
      </c>
      <c r="BH18" s="17" t="s">
        <v>34</v>
      </c>
      <c r="BI18" s="13">
        <v>-5</v>
      </c>
      <c r="BJ18" s="14" t="s">
        <v>34</v>
      </c>
      <c r="BK18" s="17">
        <v>479</v>
      </c>
      <c r="BL18" s="26"/>
      <c r="BM18" s="27"/>
      <c r="BN18" s="26"/>
      <c r="BO18" s="26"/>
      <c r="BP18" s="26"/>
      <c r="BQ18" s="26"/>
      <c r="BR18" s="26"/>
      <c r="BS18" s="26"/>
      <c r="BT18" s="26"/>
      <c r="BU18" s="26"/>
      <c r="BV18" s="26"/>
      <c r="BW18" s="26"/>
      <c r="BX18" s="26"/>
      <c r="BY18" s="26"/>
      <c r="BZ18" s="38"/>
      <c r="CA18" s="26"/>
      <c r="CB18" s="26"/>
      <c r="CC18" s="24">
        <v>1</v>
      </c>
      <c r="CD18" s="29">
        <v>9</v>
      </c>
      <c r="CE18" s="30"/>
      <c r="CF18" s="31"/>
      <c r="CG18" s="29">
        <v>5</v>
      </c>
      <c r="CH18" s="30">
        <v>6</v>
      </c>
      <c r="CI18" s="31">
        <v>7</v>
      </c>
      <c r="CJ18" s="29"/>
      <c r="CK18" s="30"/>
      <c r="CL18" s="31"/>
      <c r="CM18" s="26"/>
      <c r="CN18" s="27" t="s">
        <v>81</v>
      </c>
      <c r="CO18" s="26"/>
      <c r="CP18" s="26"/>
      <c r="CQ18" s="26"/>
      <c r="CR18" s="26"/>
      <c r="CS18" s="26"/>
      <c r="CT18" s="26"/>
      <c r="CU18" s="26"/>
      <c r="CV18" s="26"/>
      <c r="CW18" s="16">
        <v>6</v>
      </c>
      <c r="CX18" s="26"/>
      <c r="CY18" s="26"/>
      <c r="CZ18" s="26"/>
    </row>
    <row r="19" spans="1:104" ht="12.75" customHeight="1" x14ac:dyDescent="0.2">
      <c r="A19" s="26"/>
      <c r="B19" s="26"/>
      <c r="C19" s="26"/>
      <c r="D19" s="24">
        <v>2</v>
      </c>
      <c r="E19" s="15">
        <v>-7</v>
      </c>
      <c r="F19" s="16">
        <v>268</v>
      </c>
      <c r="G19" s="18">
        <v>26</v>
      </c>
      <c r="H19" s="15">
        <v>-4</v>
      </c>
      <c r="I19" s="16">
        <v>-5</v>
      </c>
      <c r="J19" s="18">
        <v>-1</v>
      </c>
      <c r="K19" s="15">
        <v>6</v>
      </c>
      <c r="L19" s="16">
        <v>-9</v>
      </c>
      <c r="M19" s="18">
        <v>-3</v>
      </c>
      <c r="N19" s="26"/>
      <c r="O19" s="26"/>
      <c r="P19" s="26"/>
      <c r="Q19" s="26"/>
      <c r="R19" s="26"/>
      <c r="S19" s="26"/>
      <c r="T19" s="26"/>
      <c r="U19" s="26"/>
      <c r="V19" s="26"/>
      <c r="W19" s="26"/>
      <c r="X19" s="26"/>
      <c r="Y19" s="26"/>
      <c r="Z19" s="38"/>
      <c r="AA19" s="26"/>
      <c r="AB19" s="26"/>
      <c r="AC19" s="24">
        <v>2</v>
      </c>
      <c r="AD19" s="15" t="s">
        <v>34</v>
      </c>
      <c r="AE19" s="16" t="s">
        <v>34</v>
      </c>
      <c r="AF19" s="18" t="s">
        <v>34</v>
      </c>
      <c r="AG19" s="15">
        <v>124</v>
      </c>
      <c r="AH19" s="16">
        <v>128</v>
      </c>
      <c r="AI19" s="18">
        <v>-9</v>
      </c>
      <c r="AJ19" s="15" t="s">
        <v>34</v>
      </c>
      <c r="AK19" s="16">
        <v>-3</v>
      </c>
      <c r="AL19" s="18" t="s">
        <v>34</v>
      </c>
      <c r="AM19" s="26"/>
      <c r="AN19" s="26"/>
      <c r="AO19" s="26"/>
      <c r="AP19" s="26"/>
      <c r="AQ19" s="26"/>
      <c r="AR19" s="26"/>
      <c r="AS19" s="26"/>
      <c r="AT19" s="26"/>
      <c r="AU19" s="26"/>
      <c r="AV19" s="26"/>
      <c r="AW19" s="26"/>
      <c r="AX19" s="26"/>
      <c r="AY19" s="38"/>
      <c r="AZ19" s="26"/>
      <c r="BA19" s="26"/>
      <c r="BB19" s="24">
        <v>2</v>
      </c>
      <c r="BC19" s="15">
        <v>28</v>
      </c>
      <c r="BD19" s="16" t="s">
        <v>34</v>
      </c>
      <c r="BE19" s="18">
        <v>-7</v>
      </c>
      <c r="BF19" s="15">
        <v>456</v>
      </c>
      <c r="BG19" s="16">
        <v>-9</v>
      </c>
      <c r="BH19" s="18">
        <v>-3</v>
      </c>
      <c r="BI19" s="15">
        <v>48</v>
      </c>
      <c r="BJ19" s="16">
        <v>48</v>
      </c>
      <c r="BK19" s="18">
        <v>-1</v>
      </c>
      <c r="BL19" s="26"/>
      <c r="BM19" s="26"/>
      <c r="BN19" s="26"/>
      <c r="BO19" s="26"/>
      <c r="BP19" s="26"/>
      <c r="BQ19" s="26"/>
      <c r="BR19" s="26"/>
      <c r="BS19" s="26"/>
      <c r="BT19" s="26"/>
      <c r="BU19" s="26"/>
      <c r="BV19" s="26"/>
      <c r="BW19" s="26"/>
      <c r="BX19" s="26"/>
      <c r="BY19" s="26"/>
      <c r="BZ19" s="38"/>
      <c r="CA19" s="26"/>
      <c r="CB19" s="26"/>
      <c r="CC19" s="24">
        <v>2</v>
      </c>
      <c r="CD19" s="32">
        <v>7</v>
      </c>
      <c r="CE19" s="33"/>
      <c r="CF19" s="34">
        <v>1</v>
      </c>
      <c r="CG19" s="32"/>
      <c r="CH19" s="33"/>
      <c r="CI19" s="34">
        <v>9</v>
      </c>
      <c r="CJ19" s="32">
        <v>5</v>
      </c>
      <c r="CK19" s="33">
        <v>6</v>
      </c>
      <c r="CL19" s="34">
        <v>4</v>
      </c>
      <c r="CM19" s="26"/>
      <c r="CN19" s="27" t="s">
        <v>61</v>
      </c>
      <c r="CO19" s="26"/>
      <c r="CP19" s="26"/>
      <c r="CQ19" s="26"/>
      <c r="CR19" s="26"/>
      <c r="CS19" s="26"/>
      <c r="CT19" s="26"/>
      <c r="CU19" s="26"/>
      <c r="CV19" s="26"/>
      <c r="CW19" s="26"/>
      <c r="CX19" s="26"/>
      <c r="CY19" s="26"/>
      <c r="CZ19" s="26"/>
    </row>
    <row r="20" spans="1:104" ht="12.75" customHeight="1" thickBot="1" x14ac:dyDescent="0.25">
      <c r="A20" s="26"/>
      <c r="B20" s="26"/>
      <c r="C20" s="26"/>
      <c r="D20" s="24">
        <v>3</v>
      </c>
      <c r="E20" s="19">
        <v>256</v>
      </c>
      <c r="F20" s="20">
        <v>-9</v>
      </c>
      <c r="G20" s="21">
        <v>-3</v>
      </c>
      <c r="H20" s="19">
        <v>26</v>
      </c>
      <c r="I20" s="20">
        <v>278</v>
      </c>
      <c r="J20" s="21">
        <v>678</v>
      </c>
      <c r="K20" s="19">
        <v>56</v>
      </c>
      <c r="L20" s="20" t="s">
        <v>34</v>
      </c>
      <c r="M20" s="21">
        <v>-4</v>
      </c>
      <c r="N20" s="26"/>
      <c r="O20" s="26"/>
      <c r="P20" s="26"/>
      <c r="Q20" s="26"/>
      <c r="R20" s="26"/>
      <c r="S20" s="26"/>
      <c r="T20" s="26"/>
      <c r="U20" s="26"/>
      <c r="V20" s="26"/>
      <c r="W20" s="26"/>
      <c r="X20" s="26"/>
      <c r="Y20" s="26"/>
      <c r="Z20" s="38"/>
      <c r="AA20" s="26"/>
      <c r="AB20" s="26"/>
      <c r="AC20" s="24">
        <v>3</v>
      </c>
      <c r="AD20" s="19" t="s">
        <v>34</v>
      </c>
      <c r="AE20" s="20" t="s">
        <v>34</v>
      </c>
      <c r="AF20" s="21" t="s">
        <v>34</v>
      </c>
      <c r="AG20" s="19">
        <v>-6</v>
      </c>
      <c r="AH20" s="20">
        <v>-7</v>
      </c>
      <c r="AI20" s="21">
        <v>-5</v>
      </c>
      <c r="AJ20" s="19">
        <v>48</v>
      </c>
      <c r="AK20" s="20">
        <v>248</v>
      </c>
      <c r="AL20" s="21">
        <v>28</v>
      </c>
      <c r="AM20" s="26"/>
      <c r="AN20" s="26"/>
      <c r="AO20" s="26"/>
      <c r="AP20" s="26"/>
      <c r="AQ20" s="26"/>
      <c r="AR20" s="26"/>
      <c r="AS20" s="26"/>
      <c r="AT20" s="26"/>
      <c r="AU20" s="26"/>
      <c r="AV20" s="26"/>
      <c r="AW20" s="26"/>
      <c r="AX20" s="26"/>
      <c r="AY20" s="38"/>
      <c r="AZ20" s="26"/>
      <c r="BA20" s="26"/>
      <c r="BB20" s="24">
        <v>3</v>
      </c>
      <c r="BC20" s="19">
        <v>389</v>
      </c>
      <c r="BD20" s="20" t="s">
        <v>34</v>
      </c>
      <c r="BE20" s="21">
        <v>-4</v>
      </c>
      <c r="BF20" s="19">
        <v>57</v>
      </c>
      <c r="BG20" s="20">
        <v>158</v>
      </c>
      <c r="BH20" s="21">
        <v>178</v>
      </c>
      <c r="BI20" s="19" t="s">
        <v>34</v>
      </c>
      <c r="BJ20" s="20">
        <v>-6</v>
      </c>
      <c r="BK20" s="21">
        <v>-2</v>
      </c>
      <c r="BL20" s="26"/>
      <c r="BM20" s="26"/>
      <c r="BN20" s="26"/>
      <c r="BO20" s="26"/>
      <c r="BP20" s="26"/>
      <c r="BQ20" s="26"/>
      <c r="BR20" s="26"/>
      <c r="BS20" s="26"/>
      <c r="BT20" s="26"/>
      <c r="BU20" s="26"/>
      <c r="BV20" s="26"/>
      <c r="BW20" s="26"/>
      <c r="BX20" s="26"/>
      <c r="BY20" s="26"/>
      <c r="BZ20" s="38"/>
      <c r="CA20" s="26"/>
      <c r="CB20" s="26"/>
      <c r="CC20" s="24">
        <v>3</v>
      </c>
      <c r="CD20" s="35"/>
      <c r="CE20" s="36"/>
      <c r="CF20" s="37"/>
      <c r="CG20" s="35"/>
      <c r="CH20" s="36"/>
      <c r="CI20" s="37"/>
      <c r="CJ20" s="35">
        <v>8</v>
      </c>
      <c r="CK20" s="36">
        <v>9</v>
      </c>
      <c r="CL20" s="37">
        <v>7</v>
      </c>
      <c r="CM20" s="26"/>
      <c r="CN20" s="23" t="s">
        <v>34</v>
      </c>
      <c r="CO20" s="65" t="s">
        <v>34</v>
      </c>
      <c r="CP20" s="66" t="s">
        <v>34</v>
      </c>
      <c r="CQ20" s="26"/>
      <c r="CR20" s="26"/>
      <c r="CS20" s="26"/>
      <c r="CT20" s="26"/>
      <c r="CU20" s="26"/>
      <c r="CV20" s="26"/>
      <c r="CW20" s="26"/>
      <c r="CX20" s="26"/>
      <c r="CY20" s="26"/>
      <c r="CZ20" s="26"/>
    </row>
    <row r="21" spans="1:104" ht="12.75" customHeight="1" x14ac:dyDescent="0.2">
      <c r="A21" s="26"/>
      <c r="B21" s="26"/>
      <c r="C21" s="26"/>
      <c r="D21" s="24">
        <v>4</v>
      </c>
      <c r="E21" s="13">
        <v>24</v>
      </c>
      <c r="F21" s="14">
        <v>127</v>
      </c>
      <c r="G21" s="17">
        <v>-5</v>
      </c>
      <c r="H21" s="13">
        <v>-8</v>
      </c>
      <c r="I21" s="14">
        <v>149</v>
      </c>
      <c r="J21" s="17">
        <v>-3</v>
      </c>
      <c r="K21" s="13">
        <v>49</v>
      </c>
      <c r="L21" s="14">
        <v>247</v>
      </c>
      <c r="M21" s="17">
        <v>-6</v>
      </c>
      <c r="N21" s="26"/>
      <c r="O21" s="26"/>
      <c r="P21" s="26"/>
      <c r="Q21" s="26"/>
      <c r="R21" s="26"/>
      <c r="S21" s="26"/>
      <c r="T21" s="26"/>
      <c r="U21" s="26"/>
      <c r="V21" s="26"/>
      <c r="W21" s="26"/>
      <c r="X21" s="26"/>
      <c r="Y21" s="26"/>
      <c r="Z21" s="38"/>
      <c r="AA21" s="26"/>
      <c r="AB21" s="26"/>
      <c r="AC21" s="24">
        <v>4</v>
      </c>
      <c r="AD21" s="13" t="s">
        <v>34</v>
      </c>
      <c r="AE21" s="14">
        <v>25</v>
      </c>
      <c r="AF21" s="17" t="s">
        <v>34</v>
      </c>
      <c r="AG21" s="13" t="s">
        <v>34</v>
      </c>
      <c r="AH21" s="14">
        <v>-9</v>
      </c>
      <c r="AI21" s="17" t="s">
        <v>34</v>
      </c>
      <c r="AJ21" s="13" t="s">
        <v>34</v>
      </c>
      <c r="AK21" s="14" t="s">
        <v>34</v>
      </c>
      <c r="AL21" s="17">
        <v>-4</v>
      </c>
      <c r="AM21" s="26"/>
      <c r="AN21" s="26"/>
      <c r="AO21" s="26"/>
      <c r="AP21" s="26"/>
      <c r="AQ21" s="26"/>
      <c r="AR21" s="26"/>
      <c r="AS21" s="26"/>
      <c r="AT21" s="26"/>
      <c r="AU21" s="26"/>
      <c r="AV21" s="26"/>
      <c r="AW21" s="26"/>
      <c r="AX21" s="26"/>
      <c r="AY21" s="38"/>
      <c r="AZ21" s="26"/>
      <c r="BA21" s="26"/>
      <c r="BB21" s="24">
        <v>4</v>
      </c>
      <c r="BC21" s="13">
        <v>379</v>
      </c>
      <c r="BD21" s="14">
        <v>357</v>
      </c>
      <c r="BE21" s="17">
        <v>359</v>
      </c>
      <c r="BF21" s="13">
        <v>-2</v>
      </c>
      <c r="BG21" s="14">
        <v>36</v>
      </c>
      <c r="BH21" s="17">
        <v>-4</v>
      </c>
      <c r="BI21" s="13">
        <v>679</v>
      </c>
      <c r="BJ21" s="14">
        <v>-1</v>
      </c>
      <c r="BK21" s="17">
        <v>-8</v>
      </c>
      <c r="BL21" s="26"/>
      <c r="BM21" s="26"/>
      <c r="BN21" s="26"/>
      <c r="BO21" s="26"/>
      <c r="BP21" s="26"/>
      <c r="BQ21" s="26"/>
      <c r="BR21" s="26"/>
      <c r="BS21" s="26"/>
      <c r="BT21" s="26"/>
      <c r="BU21" s="26"/>
      <c r="BV21" s="26"/>
      <c r="BW21" s="26"/>
      <c r="BX21" s="26"/>
      <c r="BY21" s="26"/>
      <c r="BZ21" s="38"/>
      <c r="CA21" s="26"/>
      <c r="CB21" s="26"/>
      <c r="CC21" s="24">
        <v>4</v>
      </c>
      <c r="CD21" s="29"/>
      <c r="CE21" s="30">
        <v>5</v>
      </c>
      <c r="CF21" s="31"/>
      <c r="CG21" s="29">
        <v>9</v>
      </c>
      <c r="CH21" s="30"/>
      <c r="CI21" s="31">
        <v>2</v>
      </c>
      <c r="CJ21" s="29">
        <v>3</v>
      </c>
      <c r="CK21" s="30">
        <v>1</v>
      </c>
      <c r="CL21" s="31">
        <v>8</v>
      </c>
      <c r="CM21" s="26"/>
      <c r="CN21" s="67" t="s">
        <v>34</v>
      </c>
      <c r="CO21" s="68" t="s">
        <v>34</v>
      </c>
      <c r="CP21" s="69"/>
      <c r="CQ21" s="27" t="s">
        <v>91</v>
      </c>
      <c r="CR21" s="26"/>
      <c r="CS21" s="26"/>
      <c r="CT21" s="26"/>
      <c r="CU21" s="26"/>
      <c r="CV21" s="26"/>
      <c r="CW21" s="26"/>
      <c r="CX21" s="26"/>
      <c r="CY21" s="26"/>
      <c r="CZ21" s="26"/>
    </row>
    <row r="22" spans="1:104" ht="12.75" customHeight="1" x14ac:dyDescent="0.2">
      <c r="A22" s="26"/>
      <c r="B22" s="26"/>
      <c r="C22" s="26"/>
      <c r="D22" s="24">
        <v>5</v>
      </c>
      <c r="E22" s="15" t="s">
        <v>34</v>
      </c>
      <c r="F22" s="16">
        <v>267</v>
      </c>
      <c r="G22" s="18">
        <v>-8</v>
      </c>
      <c r="H22" s="15">
        <v>569</v>
      </c>
      <c r="I22" s="16">
        <v>49</v>
      </c>
      <c r="J22" s="18">
        <v>456</v>
      </c>
      <c r="K22" s="15">
        <v>-1</v>
      </c>
      <c r="L22" s="16" t="s">
        <v>34</v>
      </c>
      <c r="M22" s="18">
        <v>279</v>
      </c>
      <c r="N22" s="26"/>
      <c r="O22" s="26"/>
      <c r="P22" s="26"/>
      <c r="Q22" s="26"/>
      <c r="R22" s="26"/>
      <c r="S22" s="26"/>
      <c r="T22" s="26"/>
      <c r="U22" s="26"/>
      <c r="V22" s="26"/>
      <c r="W22" s="26"/>
      <c r="X22" s="26"/>
      <c r="Y22" s="26"/>
      <c r="Z22" s="38"/>
      <c r="AA22" s="26"/>
      <c r="AB22" s="26"/>
      <c r="AC22" s="24">
        <v>5</v>
      </c>
      <c r="AD22" s="15" t="s">
        <v>34</v>
      </c>
      <c r="AE22" s="16">
        <v>459</v>
      </c>
      <c r="AF22" s="18">
        <v>-6</v>
      </c>
      <c r="AG22" s="15" t="s">
        <v>34</v>
      </c>
      <c r="AH22" s="16">
        <v>158</v>
      </c>
      <c r="AI22" s="18" t="s">
        <v>34</v>
      </c>
      <c r="AJ22" s="15">
        <v>-2</v>
      </c>
      <c r="AK22" s="16">
        <v>158</v>
      </c>
      <c r="AL22" s="18" t="s">
        <v>34</v>
      </c>
      <c r="AM22" s="26"/>
      <c r="AN22" s="26"/>
      <c r="AO22" s="26"/>
      <c r="AP22" s="26"/>
      <c r="AQ22" s="26"/>
      <c r="AR22" s="26"/>
      <c r="AS22" s="26"/>
      <c r="AT22" s="26"/>
      <c r="AU22" s="26"/>
      <c r="AV22" s="26"/>
      <c r="AW22" s="26"/>
      <c r="AX22" s="26"/>
      <c r="AY22" s="38"/>
      <c r="AZ22" s="26"/>
      <c r="BA22" s="26"/>
      <c r="BB22" s="24">
        <v>5</v>
      </c>
      <c r="BC22" s="15">
        <v>-1</v>
      </c>
      <c r="BD22" s="16" t="s">
        <v>34</v>
      </c>
      <c r="BE22" s="18">
        <v>289</v>
      </c>
      <c r="BF22" s="15">
        <v>679</v>
      </c>
      <c r="BG22" s="16">
        <v>68</v>
      </c>
      <c r="BH22" s="18" t="s">
        <v>34</v>
      </c>
      <c r="BI22" s="15" t="s">
        <v>34</v>
      </c>
      <c r="BJ22" s="16">
        <v>-5</v>
      </c>
      <c r="BK22" s="18">
        <v>-3</v>
      </c>
      <c r="BL22" s="26"/>
      <c r="BM22" s="26"/>
      <c r="BN22" s="26"/>
      <c r="BO22" s="26"/>
      <c r="BP22" s="26"/>
      <c r="BQ22" s="26"/>
      <c r="BR22" s="26"/>
      <c r="BS22" s="26"/>
      <c r="BT22" s="26"/>
      <c r="BU22" s="26"/>
      <c r="BV22" s="26"/>
      <c r="BW22" s="26"/>
      <c r="BX22" s="26"/>
      <c r="BY22" s="26"/>
      <c r="BZ22" s="38"/>
      <c r="CA22" s="26"/>
      <c r="CB22" s="26"/>
      <c r="CC22" s="24">
        <v>5</v>
      </c>
      <c r="CD22" s="32">
        <v>3</v>
      </c>
      <c r="CE22" s="33">
        <v>9</v>
      </c>
      <c r="CF22" s="34">
        <v>8</v>
      </c>
      <c r="CG22" s="32"/>
      <c r="CH22" s="33"/>
      <c r="CI22" s="34"/>
      <c r="CJ22" s="32">
        <v>4</v>
      </c>
      <c r="CK22" s="33">
        <v>7</v>
      </c>
      <c r="CL22" s="34">
        <v>2</v>
      </c>
      <c r="CM22" s="26"/>
      <c r="CN22" s="70" t="s">
        <v>34</v>
      </c>
      <c r="CO22" s="71" t="s">
        <v>34</v>
      </c>
      <c r="CP22" s="72" t="s">
        <v>34</v>
      </c>
      <c r="CQ22" s="26"/>
      <c r="CR22" s="26"/>
      <c r="CS22" s="26"/>
      <c r="CT22" s="26"/>
      <c r="CU22" s="26"/>
      <c r="CV22" s="26"/>
      <c r="CW22" s="26"/>
      <c r="CX22" s="26"/>
      <c r="CY22" s="26"/>
      <c r="CZ22" s="26"/>
    </row>
    <row r="23" spans="1:104" ht="12.75" customHeight="1" thickBot="1" x14ac:dyDescent="0.25">
      <c r="A23" s="26"/>
      <c r="B23" s="26"/>
      <c r="C23" s="26"/>
      <c r="D23" s="24">
        <v>6</v>
      </c>
      <c r="E23" s="19">
        <v>-9</v>
      </c>
      <c r="F23" s="20">
        <v>16</v>
      </c>
      <c r="G23" s="21">
        <v>146</v>
      </c>
      <c r="H23" s="19">
        <v>-7</v>
      </c>
      <c r="I23" s="20">
        <v>14</v>
      </c>
      <c r="J23" s="21">
        <v>-2</v>
      </c>
      <c r="K23" s="19">
        <v>-3</v>
      </c>
      <c r="L23" s="20">
        <v>45</v>
      </c>
      <c r="M23" s="21">
        <v>8</v>
      </c>
      <c r="N23" s="26"/>
      <c r="O23" s="26"/>
      <c r="P23" s="26"/>
      <c r="Q23" s="26"/>
      <c r="R23" s="26"/>
      <c r="S23" s="26"/>
      <c r="T23" s="26"/>
      <c r="U23" s="26"/>
      <c r="V23" s="26"/>
      <c r="W23" s="26"/>
      <c r="X23" s="26"/>
      <c r="Y23" s="26"/>
      <c r="Z23" s="38"/>
      <c r="AA23" s="26"/>
      <c r="AB23" s="26"/>
      <c r="AC23" s="24">
        <v>6</v>
      </c>
      <c r="AD23" s="19">
        <v>-8</v>
      </c>
      <c r="AE23" s="20" t="s">
        <v>34</v>
      </c>
      <c r="AF23" s="21" t="s">
        <v>34</v>
      </c>
      <c r="AG23" s="19" t="s">
        <v>34</v>
      </c>
      <c r="AH23" s="20">
        <v>-3</v>
      </c>
      <c r="AI23" s="21" t="s">
        <v>34</v>
      </c>
      <c r="AJ23" s="19" t="s">
        <v>34</v>
      </c>
      <c r="AK23" s="20">
        <v>156</v>
      </c>
      <c r="AL23" s="21" t="s">
        <v>34</v>
      </c>
      <c r="AM23" s="26"/>
      <c r="AN23" s="26"/>
      <c r="AO23" s="26"/>
      <c r="AP23" s="26"/>
      <c r="AQ23" s="26"/>
      <c r="AR23" s="26"/>
      <c r="AS23" s="26"/>
      <c r="AT23" s="26"/>
      <c r="AU23" s="26"/>
      <c r="AV23" s="26"/>
      <c r="AW23" s="26"/>
      <c r="AX23" s="26"/>
      <c r="AY23" s="38"/>
      <c r="AZ23" s="26"/>
      <c r="BA23" s="26"/>
      <c r="BB23" s="24">
        <v>6</v>
      </c>
      <c r="BC23" s="19">
        <v>-6</v>
      </c>
      <c r="BD23" s="20" t="s">
        <v>34</v>
      </c>
      <c r="BE23" s="21">
        <v>389</v>
      </c>
      <c r="BF23" s="19">
        <v>-1</v>
      </c>
      <c r="BG23" s="20">
        <v>38</v>
      </c>
      <c r="BH23" s="21">
        <v>-5</v>
      </c>
      <c r="BI23" s="19">
        <v>479</v>
      </c>
      <c r="BJ23" s="20">
        <v>-2</v>
      </c>
      <c r="BK23" s="21">
        <v>479</v>
      </c>
      <c r="BL23" s="26"/>
      <c r="BM23" s="26"/>
      <c r="BN23" s="26"/>
      <c r="BO23" s="26"/>
      <c r="BP23" s="26"/>
      <c r="BQ23" s="26"/>
      <c r="BR23" s="26"/>
      <c r="BS23" s="26"/>
      <c r="BT23" s="26"/>
      <c r="BU23" s="26"/>
      <c r="BV23" s="26"/>
      <c r="BW23" s="26"/>
      <c r="BX23" s="26"/>
      <c r="BY23" s="26"/>
      <c r="BZ23" s="38"/>
      <c r="CA23" s="26"/>
      <c r="CB23" s="26"/>
      <c r="CC23" s="24">
        <v>6</v>
      </c>
      <c r="CD23" s="35">
        <v>1</v>
      </c>
      <c r="CE23" s="36">
        <v>2</v>
      </c>
      <c r="CF23" s="37"/>
      <c r="CG23" s="35">
        <v>3</v>
      </c>
      <c r="CH23" s="36"/>
      <c r="CI23" s="37">
        <v>8</v>
      </c>
      <c r="CJ23" s="35">
        <v>9</v>
      </c>
      <c r="CK23" s="36">
        <v>5</v>
      </c>
      <c r="CL23" s="37">
        <v>6</v>
      </c>
      <c r="CM23" s="26"/>
      <c r="CN23" s="26"/>
      <c r="CO23" s="26"/>
      <c r="CP23" s="26"/>
      <c r="CQ23" s="26"/>
      <c r="CR23" s="26"/>
      <c r="CS23" s="26"/>
      <c r="CT23" s="26"/>
      <c r="CU23" s="26"/>
      <c r="CV23" s="26"/>
      <c r="CW23" s="26"/>
      <c r="CX23" s="26"/>
      <c r="CY23" s="26"/>
      <c r="CZ23" s="26"/>
    </row>
    <row r="24" spans="1:104" ht="12.75" customHeight="1" x14ac:dyDescent="0.2">
      <c r="A24" s="26"/>
      <c r="B24" s="26"/>
      <c r="C24" s="26"/>
      <c r="D24" s="24">
        <v>7</v>
      </c>
      <c r="E24" s="13">
        <v>-1</v>
      </c>
      <c r="F24" s="14">
        <v>256</v>
      </c>
      <c r="G24" s="17">
        <v>26</v>
      </c>
      <c r="H24" s="13">
        <v>25</v>
      </c>
      <c r="I24" s="14">
        <v>248</v>
      </c>
      <c r="J24" s="17">
        <v>458</v>
      </c>
      <c r="K24" s="13">
        <v>-7</v>
      </c>
      <c r="L24" s="14">
        <v>-3</v>
      </c>
      <c r="M24" s="17">
        <v>289</v>
      </c>
      <c r="N24" s="26"/>
      <c r="O24" s="26"/>
      <c r="P24" s="26"/>
      <c r="Q24" s="26"/>
      <c r="R24" s="26"/>
      <c r="S24" s="26"/>
      <c r="T24" s="26"/>
      <c r="U24" s="26"/>
      <c r="V24" s="26"/>
      <c r="W24" s="26"/>
      <c r="X24" s="26"/>
      <c r="Y24" s="26"/>
      <c r="Z24" s="38"/>
      <c r="AA24" s="26"/>
      <c r="AB24" s="26"/>
      <c r="AC24" s="24">
        <v>7</v>
      </c>
      <c r="AD24" s="13">
        <v>567</v>
      </c>
      <c r="AE24" s="14">
        <v>56</v>
      </c>
      <c r="AF24" s="17">
        <v>57</v>
      </c>
      <c r="AG24" s="13">
        <v>-8</v>
      </c>
      <c r="AH24" s="14">
        <v>-4</v>
      </c>
      <c r="AI24" s="17">
        <v>-2</v>
      </c>
      <c r="AJ24" s="13" t="s">
        <v>34</v>
      </c>
      <c r="AK24" s="14">
        <v>156</v>
      </c>
      <c r="AL24" s="17" t="s">
        <v>34</v>
      </c>
      <c r="AM24" s="26"/>
      <c r="AN24" s="26"/>
      <c r="AO24" s="26"/>
      <c r="AP24" s="26"/>
      <c r="AQ24" s="26"/>
      <c r="AR24" s="26"/>
      <c r="AS24" s="26"/>
      <c r="AT24" s="26"/>
      <c r="AU24" s="26"/>
      <c r="AV24" s="26"/>
      <c r="AW24" s="26"/>
      <c r="AX24" s="26"/>
      <c r="AY24" s="38"/>
      <c r="AZ24" s="26"/>
      <c r="BA24" s="26"/>
      <c r="BB24" s="24">
        <v>7</v>
      </c>
      <c r="BC24" s="13">
        <v>-5</v>
      </c>
      <c r="BD24" s="14">
        <v>-9</v>
      </c>
      <c r="BE24" s="17" t="s">
        <v>34</v>
      </c>
      <c r="BF24" s="13">
        <v>346</v>
      </c>
      <c r="BG24" s="14" t="s">
        <v>34</v>
      </c>
      <c r="BH24" s="17">
        <v>16</v>
      </c>
      <c r="BI24" s="13">
        <v>-2</v>
      </c>
      <c r="BJ24" s="14" t="s">
        <v>34</v>
      </c>
      <c r="BK24" s="17">
        <v>467</v>
      </c>
      <c r="BL24" s="26"/>
      <c r="BM24" s="26"/>
      <c r="BN24" s="26"/>
      <c r="BO24" s="26"/>
      <c r="BP24" s="26"/>
      <c r="BQ24" s="26"/>
      <c r="BR24" s="26"/>
      <c r="BS24" s="26"/>
      <c r="BT24" s="26"/>
      <c r="BU24" s="26"/>
      <c r="BV24" s="26"/>
      <c r="BW24" s="26"/>
      <c r="BX24" s="26"/>
      <c r="BY24" s="26"/>
      <c r="BZ24" s="38"/>
      <c r="CA24" s="26"/>
      <c r="CB24" s="26"/>
      <c r="CC24" s="24">
        <v>7</v>
      </c>
      <c r="CD24" s="29"/>
      <c r="CE24" s="30">
        <v>7</v>
      </c>
      <c r="CF24" s="31">
        <v>9</v>
      </c>
      <c r="CG24" s="29"/>
      <c r="CH24" s="30"/>
      <c r="CI24" s="31"/>
      <c r="CJ24" s="29"/>
      <c r="CK24" s="30"/>
      <c r="CL24" s="31"/>
      <c r="CM24" s="26"/>
      <c r="CN24" s="26"/>
      <c r="CO24" s="26"/>
      <c r="CP24" s="26"/>
      <c r="CQ24" s="26"/>
      <c r="CR24" s="26"/>
      <c r="CS24" s="26"/>
      <c r="CT24" s="26"/>
      <c r="CU24" s="26"/>
      <c r="CV24" s="26"/>
      <c r="CW24" s="26"/>
      <c r="CX24" s="26"/>
      <c r="CY24" s="26"/>
      <c r="CZ24" s="26"/>
    </row>
    <row r="25" spans="1:104" ht="12.75" customHeight="1" x14ac:dyDescent="0.2">
      <c r="A25" s="26"/>
      <c r="B25" s="26"/>
      <c r="C25" s="26"/>
      <c r="D25" s="24">
        <v>8</v>
      </c>
      <c r="E25" s="15">
        <v>-8</v>
      </c>
      <c r="F25" s="16">
        <v>-3</v>
      </c>
      <c r="G25" s="18">
        <v>27</v>
      </c>
      <c r="H25" s="15">
        <v>-1</v>
      </c>
      <c r="I25" s="16">
        <v>-6</v>
      </c>
      <c r="J25" s="18">
        <v>-9</v>
      </c>
      <c r="K25" s="15">
        <v>4</v>
      </c>
      <c r="L25" s="16">
        <v>24</v>
      </c>
      <c r="M25" s="18">
        <v>-5</v>
      </c>
      <c r="N25" s="26"/>
      <c r="O25" s="26"/>
      <c r="P25" s="26"/>
      <c r="Q25" s="26"/>
      <c r="R25" s="26"/>
      <c r="S25" s="26"/>
      <c r="T25" s="26"/>
      <c r="U25" s="26"/>
      <c r="V25" s="26"/>
      <c r="W25" s="26"/>
      <c r="X25" s="26"/>
      <c r="Y25" s="26"/>
      <c r="Z25" s="38"/>
      <c r="AA25" s="26"/>
      <c r="AB25" s="26"/>
      <c r="AC25" s="24">
        <v>8</v>
      </c>
      <c r="AD25" s="15" t="s">
        <v>34</v>
      </c>
      <c r="AE25" s="16">
        <v>-3</v>
      </c>
      <c r="AF25" s="18" t="s">
        <v>34</v>
      </c>
      <c r="AG25" s="15">
        <v>-9</v>
      </c>
      <c r="AH25" s="16">
        <v>156</v>
      </c>
      <c r="AI25" s="18">
        <v>167</v>
      </c>
      <c r="AJ25" s="15" t="s">
        <v>34</v>
      </c>
      <c r="AK25" s="16" t="s">
        <v>34</v>
      </c>
      <c r="AL25" s="18" t="s">
        <v>34</v>
      </c>
      <c r="AM25" s="26"/>
      <c r="AN25" s="26"/>
      <c r="AO25" s="26"/>
      <c r="AP25" s="26"/>
      <c r="AQ25" s="26"/>
      <c r="AR25" s="26"/>
      <c r="AS25" s="26"/>
      <c r="AT25" s="26"/>
      <c r="AU25" s="26"/>
      <c r="AV25" s="26"/>
      <c r="AW25" s="26"/>
      <c r="AX25" s="26"/>
      <c r="AY25" s="38"/>
      <c r="AZ25" s="26"/>
      <c r="BA25" s="26"/>
      <c r="BB25" s="24">
        <v>8</v>
      </c>
      <c r="BC25" s="15">
        <v>-4</v>
      </c>
      <c r="BD25" s="16">
        <v>236</v>
      </c>
      <c r="BE25" s="18">
        <v>236</v>
      </c>
      <c r="BF25" s="15">
        <v>-8</v>
      </c>
      <c r="BG25" s="16">
        <v>-7</v>
      </c>
      <c r="BH25" s="18">
        <v>269</v>
      </c>
      <c r="BI25" s="15">
        <v>-1</v>
      </c>
      <c r="BJ25" s="16">
        <v>39</v>
      </c>
      <c r="BK25" s="18">
        <v>569</v>
      </c>
      <c r="BL25" s="26"/>
      <c r="BM25" s="26"/>
      <c r="BN25" s="26"/>
      <c r="BO25" s="26"/>
      <c r="BP25" s="26"/>
      <c r="BQ25" s="26"/>
      <c r="BR25" s="26"/>
      <c r="BS25" s="26"/>
      <c r="BT25" s="26"/>
      <c r="BU25" s="26"/>
      <c r="BV25" s="26"/>
      <c r="BW25" s="26"/>
      <c r="BX25" s="26"/>
      <c r="BY25" s="26"/>
      <c r="BZ25" s="38"/>
      <c r="CA25" s="26"/>
      <c r="CB25" s="26"/>
      <c r="CC25" s="24">
        <v>8</v>
      </c>
      <c r="CD25" s="32">
        <v>8</v>
      </c>
      <c r="CE25" s="33"/>
      <c r="CF25" s="34"/>
      <c r="CG25" s="32">
        <v>7</v>
      </c>
      <c r="CH25" s="33">
        <v>9</v>
      </c>
      <c r="CI25" s="34"/>
      <c r="CJ25" s="32">
        <v>6</v>
      </c>
      <c r="CK25" s="33"/>
      <c r="CL25" s="34"/>
      <c r="CM25" s="26"/>
      <c r="CN25" s="26"/>
      <c r="CO25" s="26"/>
      <c r="CP25" s="26"/>
      <c r="CQ25" s="26"/>
      <c r="CR25" s="26"/>
      <c r="CS25" s="26"/>
      <c r="CT25" s="26"/>
      <c r="CU25" s="26"/>
      <c r="CV25" s="26"/>
      <c r="CW25" s="26"/>
      <c r="CX25" s="26"/>
      <c r="CY25" s="26"/>
      <c r="CZ25" s="26"/>
    </row>
    <row r="26" spans="1:104" ht="12.75" customHeight="1" thickBot="1" x14ac:dyDescent="0.25">
      <c r="A26" s="26"/>
      <c r="B26" s="26"/>
      <c r="C26" s="26"/>
      <c r="D26" s="24">
        <v>9</v>
      </c>
      <c r="E26" s="19">
        <v>256</v>
      </c>
      <c r="F26" s="20">
        <v>-4</v>
      </c>
      <c r="G26" s="21">
        <v>-9</v>
      </c>
      <c r="H26" s="19">
        <v>235</v>
      </c>
      <c r="I26" s="20" t="s">
        <v>34</v>
      </c>
      <c r="J26" s="21">
        <v>578</v>
      </c>
      <c r="K26" s="19">
        <v>68</v>
      </c>
      <c r="L26" s="20">
        <v>126</v>
      </c>
      <c r="M26" s="21">
        <v>128</v>
      </c>
      <c r="N26" s="26"/>
      <c r="O26" s="26"/>
      <c r="P26" s="26"/>
      <c r="Q26" s="26"/>
      <c r="R26" s="26"/>
      <c r="S26" s="26"/>
      <c r="T26" s="26"/>
      <c r="U26" s="26"/>
      <c r="V26" s="26"/>
      <c r="W26" s="26"/>
      <c r="X26" s="26"/>
      <c r="Y26" s="26"/>
      <c r="Z26" s="38"/>
      <c r="AA26" s="26"/>
      <c r="AB26" s="26"/>
      <c r="AC26" s="24">
        <v>9</v>
      </c>
      <c r="AD26" s="19">
        <v>-9</v>
      </c>
      <c r="AE26" s="20">
        <v>-1</v>
      </c>
      <c r="AF26" s="21">
        <v>-2</v>
      </c>
      <c r="AG26" s="19">
        <v>35</v>
      </c>
      <c r="AH26" s="20">
        <v>56</v>
      </c>
      <c r="AI26" s="21">
        <v>36</v>
      </c>
      <c r="AJ26" s="19" t="s">
        <v>34</v>
      </c>
      <c r="AK26" s="20">
        <v>-7</v>
      </c>
      <c r="AL26" s="21" t="s">
        <v>34</v>
      </c>
      <c r="AM26" s="26"/>
      <c r="AN26" s="26"/>
      <c r="AO26" s="26"/>
      <c r="AP26" s="26"/>
      <c r="AQ26" s="26"/>
      <c r="AR26" s="26"/>
      <c r="AS26" s="26"/>
      <c r="AT26" s="26"/>
      <c r="AU26" s="26"/>
      <c r="AV26" s="26"/>
      <c r="AW26" s="26"/>
      <c r="AX26" s="26"/>
      <c r="AY26" s="38"/>
      <c r="AZ26" s="26"/>
      <c r="BA26" s="26"/>
      <c r="BB26" s="24">
        <v>9</v>
      </c>
      <c r="BC26" s="19" t="s">
        <v>34</v>
      </c>
      <c r="BD26" s="20" t="s">
        <v>34</v>
      </c>
      <c r="BE26" s="21" t="s">
        <v>34</v>
      </c>
      <c r="BF26" s="19" t="s">
        <v>34</v>
      </c>
      <c r="BG26" s="20" t="s">
        <v>34</v>
      </c>
      <c r="BH26" s="21" t="s">
        <v>34</v>
      </c>
      <c r="BI26" s="19" t="s">
        <v>34</v>
      </c>
      <c r="BJ26" s="20" t="s">
        <v>34</v>
      </c>
      <c r="BK26" s="21" t="s">
        <v>34</v>
      </c>
      <c r="BL26" s="26"/>
      <c r="BM26" s="26"/>
      <c r="BN26" s="26"/>
      <c r="BO26" s="26"/>
      <c r="BP26" s="26"/>
      <c r="BQ26" s="26"/>
      <c r="BR26" s="26"/>
      <c r="BS26" s="26"/>
      <c r="BT26" s="26"/>
      <c r="BU26" s="26"/>
      <c r="BV26" s="26"/>
      <c r="BW26" s="26"/>
      <c r="BX26" s="26"/>
      <c r="BY26" s="26"/>
      <c r="BZ26" s="38"/>
      <c r="CA26" s="26"/>
      <c r="CB26" s="26"/>
      <c r="CC26" s="24">
        <v>9</v>
      </c>
      <c r="CD26" s="35"/>
      <c r="CE26" s="36"/>
      <c r="CF26" s="37"/>
      <c r="CG26" s="35">
        <v>4</v>
      </c>
      <c r="CH26" s="36">
        <v>2</v>
      </c>
      <c r="CI26" s="37">
        <v>3</v>
      </c>
      <c r="CJ26" s="35">
        <v>7</v>
      </c>
      <c r="CK26" s="36">
        <v>8</v>
      </c>
      <c r="CL26" s="37">
        <v>9</v>
      </c>
      <c r="CM26" s="26"/>
      <c r="CN26" s="26"/>
      <c r="CO26" s="26"/>
      <c r="CP26" s="26"/>
      <c r="CQ26" s="26"/>
      <c r="CR26" s="26"/>
      <c r="CS26" s="26"/>
      <c r="CT26" s="26"/>
      <c r="CU26" s="26"/>
      <c r="CV26" s="26"/>
      <c r="CW26" s="26"/>
      <c r="CX26" s="26"/>
      <c r="CY26" s="26"/>
      <c r="CZ26" s="26"/>
    </row>
    <row r="27" spans="1:104" ht="12.75" customHeight="1" x14ac:dyDescent="0.2">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38"/>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38"/>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38"/>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row>
    <row r="28" spans="1:104" ht="12.75" customHeight="1" x14ac:dyDescent="0.2">
      <c r="A28" s="26"/>
      <c r="B28" s="26" t="s">
        <v>36</v>
      </c>
      <c r="C28" s="26"/>
      <c r="D28" s="28" t="s">
        <v>27</v>
      </c>
      <c r="E28" s="26"/>
      <c r="F28" s="26"/>
      <c r="G28" s="26"/>
      <c r="H28" s="26"/>
      <c r="I28" s="26"/>
      <c r="J28" s="26"/>
      <c r="K28" s="26"/>
      <c r="L28" s="26"/>
      <c r="M28" s="26"/>
      <c r="N28" s="26"/>
      <c r="O28" s="26"/>
      <c r="P28" s="26"/>
      <c r="Q28" s="26"/>
      <c r="R28" s="26"/>
      <c r="S28" s="26"/>
      <c r="T28" s="26"/>
      <c r="U28" s="26"/>
      <c r="V28" s="26"/>
      <c r="W28" s="26"/>
      <c r="X28" s="26"/>
      <c r="Y28" s="26"/>
      <c r="Z28" s="38"/>
      <c r="AA28" s="26" t="s">
        <v>36</v>
      </c>
      <c r="AB28" s="26"/>
      <c r="AC28" s="25">
        <v>8</v>
      </c>
      <c r="AD28" s="44">
        <v>1</v>
      </c>
      <c r="AE28" s="44">
        <v>2</v>
      </c>
      <c r="AF28" s="44">
        <v>3</v>
      </c>
      <c r="AG28" s="44">
        <v>4</v>
      </c>
      <c r="AH28" s="44">
        <v>5</v>
      </c>
      <c r="AI28" s="44">
        <v>6</v>
      </c>
      <c r="AJ28" s="44">
        <v>7</v>
      </c>
      <c r="AK28" s="44">
        <v>8</v>
      </c>
      <c r="AL28" s="44">
        <v>9</v>
      </c>
      <c r="AM28" s="44"/>
      <c r="AN28" s="26"/>
      <c r="AO28" s="26"/>
      <c r="AP28" s="26"/>
      <c r="AQ28" s="26"/>
      <c r="AR28" s="26"/>
      <c r="AS28" s="26"/>
      <c r="AT28" s="26"/>
      <c r="AU28" s="26"/>
      <c r="AV28" s="26"/>
      <c r="AW28" s="26"/>
      <c r="AX28" s="26"/>
      <c r="AY28" s="38"/>
      <c r="AZ28" s="26" t="s">
        <v>36</v>
      </c>
      <c r="BA28" s="26"/>
      <c r="BB28" s="25">
        <v>8</v>
      </c>
      <c r="BC28" s="44">
        <v>1</v>
      </c>
      <c r="BD28" s="44">
        <v>2</v>
      </c>
      <c r="BE28" s="44">
        <v>3</v>
      </c>
      <c r="BF28" s="44">
        <v>4</v>
      </c>
      <c r="BG28" s="44">
        <v>5</v>
      </c>
      <c r="BH28" s="44">
        <v>6</v>
      </c>
      <c r="BI28" s="44">
        <v>7</v>
      </c>
      <c r="BJ28" s="44">
        <v>8</v>
      </c>
      <c r="BK28" s="44">
        <v>9</v>
      </c>
      <c r="BL28" s="44"/>
      <c r="BM28" s="26"/>
      <c r="BN28" s="26"/>
      <c r="BO28" s="26"/>
      <c r="BP28" s="26"/>
      <c r="BQ28" s="26"/>
      <c r="BR28" s="26"/>
      <c r="BS28" s="26"/>
      <c r="BT28" s="26"/>
      <c r="BU28" s="26"/>
      <c r="BV28" s="26"/>
      <c r="BW28" s="26"/>
      <c r="BX28" s="26"/>
      <c r="BY28" s="26"/>
      <c r="BZ28" s="38"/>
      <c r="CA28" s="26" t="s">
        <v>36</v>
      </c>
      <c r="CB28" s="26"/>
      <c r="CC28" s="27" t="s">
        <v>28</v>
      </c>
      <c r="CD28" s="26"/>
      <c r="CE28" s="26"/>
      <c r="CF28" s="26"/>
      <c r="CG28" s="26"/>
      <c r="CH28" s="26"/>
      <c r="CI28" s="26"/>
      <c r="CJ28" s="26"/>
      <c r="CK28" s="26"/>
      <c r="CL28" s="26"/>
      <c r="CM28" s="26"/>
      <c r="CN28" s="26"/>
      <c r="CO28" s="26"/>
      <c r="CP28" s="26"/>
      <c r="CQ28" s="26"/>
      <c r="CR28" s="26"/>
      <c r="CS28" s="26"/>
      <c r="CT28" s="26"/>
      <c r="CU28" s="26"/>
      <c r="CV28" s="26"/>
      <c r="CW28" s="26"/>
      <c r="CX28" s="26"/>
      <c r="CY28" s="26"/>
      <c r="CZ28" s="26"/>
    </row>
    <row r="29" spans="1:104" ht="12.75" customHeight="1" thickBot="1" x14ac:dyDescent="0.25">
      <c r="A29" s="26"/>
      <c r="B29" s="26"/>
      <c r="C29" s="26"/>
      <c r="D29" s="26"/>
      <c r="E29" s="22">
        <v>1</v>
      </c>
      <c r="F29" s="22">
        <v>2</v>
      </c>
      <c r="G29" s="22">
        <v>3</v>
      </c>
      <c r="H29" s="22">
        <v>4</v>
      </c>
      <c r="I29" s="22">
        <v>5</v>
      </c>
      <c r="J29" s="22">
        <v>6</v>
      </c>
      <c r="K29" s="22">
        <v>7</v>
      </c>
      <c r="L29" s="22">
        <v>8</v>
      </c>
      <c r="M29" s="22">
        <v>9</v>
      </c>
      <c r="N29" s="26"/>
      <c r="O29" s="26"/>
      <c r="P29" s="26"/>
      <c r="Q29" s="26"/>
      <c r="R29" s="26"/>
      <c r="S29" s="26"/>
      <c r="T29" s="26"/>
      <c r="U29" s="26"/>
      <c r="V29" s="26"/>
      <c r="W29" s="26"/>
      <c r="X29" s="26"/>
      <c r="Y29" s="26"/>
      <c r="Z29" s="38"/>
      <c r="AA29" s="26"/>
      <c r="AB29" s="26"/>
      <c r="AC29" s="44">
        <v>1</v>
      </c>
      <c r="AD29" s="2" t="s">
        <v>34</v>
      </c>
      <c r="AE29" s="3" t="s">
        <v>34</v>
      </c>
      <c r="AF29" s="4">
        <v>8</v>
      </c>
      <c r="AG29" s="2" t="s">
        <v>34</v>
      </c>
      <c r="AH29" s="3">
        <v>8</v>
      </c>
      <c r="AI29" s="4">
        <v>8</v>
      </c>
      <c r="AJ29" s="2" t="s">
        <v>34</v>
      </c>
      <c r="AK29" s="3" t="s">
        <v>34</v>
      </c>
      <c r="AL29" s="4" t="s">
        <v>34</v>
      </c>
      <c r="AM29" s="6">
        <v>3</v>
      </c>
      <c r="AN29" s="26"/>
      <c r="AO29" s="27" t="s">
        <v>48</v>
      </c>
      <c r="AP29" s="26"/>
      <c r="AQ29" s="26"/>
      <c r="AR29" s="26"/>
      <c r="AS29" s="26"/>
      <c r="AT29" s="26"/>
      <c r="AU29" s="26"/>
      <c r="AV29" s="26"/>
      <c r="AW29" s="26"/>
      <c r="AX29" s="26"/>
      <c r="AY29" s="38"/>
      <c r="AZ29" s="26"/>
      <c r="BA29" s="26"/>
      <c r="BB29" s="44">
        <v>1</v>
      </c>
      <c r="BC29" s="2">
        <v>3</v>
      </c>
      <c r="BD29" s="3">
        <v>3</v>
      </c>
      <c r="BE29" s="4">
        <v>3</v>
      </c>
      <c r="BF29" s="2" t="s">
        <v>34</v>
      </c>
      <c r="BG29" s="3" t="s">
        <v>34</v>
      </c>
      <c r="BH29" s="4" t="s">
        <v>34</v>
      </c>
      <c r="BI29" s="2" t="s">
        <v>34</v>
      </c>
      <c r="BJ29" s="3">
        <v>3</v>
      </c>
      <c r="BK29" s="4" t="s">
        <v>34</v>
      </c>
      <c r="BL29" s="6">
        <v>4</v>
      </c>
      <c r="BM29" s="26"/>
      <c r="BN29" s="27" t="s">
        <v>61</v>
      </c>
      <c r="BO29" s="26"/>
      <c r="BP29" s="26"/>
      <c r="BQ29" s="26"/>
      <c r="BR29" s="26"/>
      <c r="BS29" s="26"/>
      <c r="BT29" s="26"/>
      <c r="BU29" s="26"/>
      <c r="BV29" s="26"/>
      <c r="BW29" s="26"/>
      <c r="BX29" s="26"/>
      <c r="BY29" s="26"/>
      <c r="BZ29" s="38"/>
      <c r="CA29" s="26"/>
      <c r="CB29" s="26"/>
      <c r="CC29" s="26"/>
      <c r="CD29" s="22">
        <v>1</v>
      </c>
      <c r="CE29" s="22">
        <v>2</v>
      </c>
      <c r="CF29" s="22">
        <v>3</v>
      </c>
      <c r="CG29" s="22">
        <v>4</v>
      </c>
      <c r="CH29" s="22">
        <v>5</v>
      </c>
      <c r="CI29" s="22">
        <v>6</v>
      </c>
      <c r="CJ29" s="22">
        <v>7</v>
      </c>
      <c r="CK29" s="22">
        <v>8</v>
      </c>
      <c r="CL29" s="22">
        <v>9</v>
      </c>
      <c r="CM29" s="26"/>
      <c r="CN29" s="27" t="s">
        <v>82</v>
      </c>
      <c r="CO29" s="27"/>
      <c r="CP29" s="26"/>
      <c r="CQ29" s="26"/>
      <c r="CR29" s="26"/>
      <c r="CS29" s="26"/>
      <c r="CT29" s="26"/>
      <c r="CU29" s="26"/>
      <c r="CV29" s="26"/>
      <c r="CW29" s="26"/>
      <c r="CX29" s="26"/>
      <c r="CY29" s="26"/>
      <c r="CZ29" s="26"/>
    </row>
    <row r="30" spans="1:104" ht="12.75" customHeight="1" thickTop="1" thickBot="1" x14ac:dyDescent="0.25">
      <c r="A30" s="26"/>
      <c r="B30" s="26"/>
      <c r="C30" s="26"/>
      <c r="D30" s="22">
        <v>1</v>
      </c>
      <c r="E30" s="29"/>
      <c r="F30" s="30"/>
      <c r="G30" s="31"/>
      <c r="H30" s="29"/>
      <c r="I30" s="30"/>
      <c r="J30" s="31"/>
      <c r="K30" s="62">
        <v>2</v>
      </c>
      <c r="L30" s="30">
        <v>8</v>
      </c>
      <c r="M30" s="31"/>
      <c r="N30" s="26"/>
      <c r="O30" s="27" t="s">
        <v>38</v>
      </c>
      <c r="P30" s="26"/>
      <c r="Q30" s="26"/>
      <c r="R30" s="26"/>
      <c r="S30" s="26"/>
      <c r="T30" s="16">
        <v>6</v>
      </c>
      <c r="U30" s="26" t="s">
        <v>39</v>
      </c>
      <c r="V30" s="26"/>
      <c r="W30" s="26"/>
      <c r="X30" s="26"/>
      <c r="Y30" s="26"/>
      <c r="Z30" s="38"/>
      <c r="AA30" s="26"/>
      <c r="AB30" s="26"/>
      <c r="AC30" s="44">
        <v>2</v>
      </c>
      <c r="AD30" s="5" t="s">
        <v>34</v>
      </c>
      <c r="AE30" s="6">
        <v>8</v>
      </c>
      <c r="AF30" s="7">
        <v>8</v>
      </c>
      <c r="AG30" s="5" t="s">
        <v>34</v>
      </c>
      <c r="AH30" s="6">
        <v>8</v>
      </c>
      <c r="AI30" s="7" t="s">
        <v>34</v>
      </c>
      <c r="AJ30" s="5">
        <v>8</v>
      </c>
      <c r="AK30" s="6" t="s">
        <v>34</v>
      </c>
      <c r="AL30" s="7">
        <v>8</v>
      </c>
      <c r="AM30" s="6">
        <v>5</v>
      </c>
      <c r="AN30" s="26"/>
      <c r="AO30" s="27" t="s">
        <v>49</v>
      </c>
      <c r="AP30" s="26"/>
      <c r="AQ30" s="26"/>
      <c r="AR30" s="26"/>
      <c r="AS30" s="26"/>
      <c r="AT30" s="26"/>
      <c r="AU30" s="26"/>
      <c r="AV30" s="26"/>
      <c r="AW30" s="26"/>
      <c r="AX30" s="26"/>
      <c r="AY30" s="38"/>
      <c r="AZ30" s="26"/>
      <c r="BA30" s="26"/>
      <c r="BB30" s="44">
        <v>2</v>
      </c>
      <c r="BC30" s="5" t="s">
        <v>34</v>
      </c>
      <c r="BD30" s="6" t="s">
        <v>34</v>
      </c>
      <c r="BE30" s="7" t="s">
        <v>34</v>
      </c>
      <c r="BF30" s="5" t="s">
        <v>34</v>
      </c>
      <c r="BG30" s="6" t="s">
        <v>34</v>
      </c>
      <c r="BH30" s="7" t="s">
        <v>34</v>
      </c>
      <c r="BI30" s="5" t="s">
        <v>34</v>
      </c>
      <c r="BJ30" s="6" t="s">
        <v>34</v>
      </c>
      <c r="BK30" s="7" t="s">
        <v>34</v>
      </c>
      <c r="BL30" s="6">
        <v>0</v>
      </c>
      <c r="BM30" s="26"/>
      <c r="BN30" s="23" t="s">
        <v>34</v>
      </c>
      <c r="BO30" s="65" t="s">
        <v>34</v>
      </c>
      <c r="BP30" s="66" t="s">
        <v>34</v>
      </c>
      <c r="BQ30" s="26"/>
      <c r="BR30" s="26"/>
      <c r="BS30" s="26"/>
      <c r="BT30" s="26"/>
      <c r="BU30" s="26"/>
      <c r="BV30" s="26"/>
      <c r="BW30" s="26"/>
      <c r="BX30" s="26"/>
      <c r="BY30" s="26"/>
      <c r="BZ30" s="38"/>
      <c r="CA30" s="26"/>
      <c r="CB30" s="26"/>
      <c r="CC30" s="24">
        <v>1</v>
      </c>
      <c r="CD30" s="13">
        <v>-9</v>
      </c>
      <c r="CE30" s="14">
        <v>348</v>
      </c>
      <c r="CF30" s="17">
        <v>234</v>
      </c>
      <c r="CG30" s="13">
        <v>-5</v>
      </c>
      <c r="CH30" s="14">
        <v>-6</v>
      </c>
      <c r="CI30" s="14">
        <v>-7</v>
      </c>
      <c r="CJ30" s="110">
        <v>12</v>
      </c>
      <c r="CK30" s="14">
        <v>23</v>
      </c>
      <c r="CL30" s="17">
        <v>13</v>
      </c>
      <c r="CM30" s="26"/>
      <c r="CN30" s="27" t="s">
        <v>83</v>
      </c>
      <c r="CO30" s="27"/>
      <c r="CP30" s="27"/>
      <c r="CQ30" s="27"/>
      <c r="CR30" s="27"/>
      <c r="CS30" s="27"/>
      <c r="CT30" s="27"/>
      <c r="CU30" s="27"/>
      <c r="CV30" s="27"/>
      <c r="CW30" s="27"/>
      <c r="CX30" s="27"/>
      <c r="CY30" s="26"/>
      <c r="CZ30" s="26"/>
    </row>
    <row r="31" spans="1:104" ht="12.75" customHeight="1" thickTop="1" thickBot="1" x14ac:dyDescent="0.25">
      <c r="A31" s="26"/>
      <c r="B31" s="26"/>
      <c r="C31" s="26"/>
      <c r="D31" s="22">
        <v>2</v>
      </c>
      <c r="E31" s="32">
        <v>7</v>
      </c>
      <c r="F31" s="33"/>
      <c r="G31" s="34"/>
      <c r="H31" s="32">
        <v>4</v>
      </c>
      <c r="I31" s="33">
        <v>5</v>
      </c>
      <c r="J31" s="60">
        <v>1</v>
      </c>
      <c r="K31" s="64">
        <v>6</v>
      </c>
      <c r="L31" s="61">
        <v>9</v>
      </c>
      <c r="M31" s="34">
        <v>3</v>
      </c>
      <c r="N31" s="26"/>
      <c r="O31" s="27" t="s">
        <v>40</v>
      </c>
      <c r="P31" s="26"/>
      <c r="Q31" s="26"/>
      <c r="R31" s="26"/>
      <c r="S31" s="26"/>
      <c r="T31" s="26"/>
      <c r="U31" s="26"/>
      <c r="V31" s="26"/>
      <c r="W31" s="26"/>
      <c r="X31" s="26"/>
      <c r="Y31" s="26"/>
      <c r="Z31" s="38"/>
      <c r="AA31" s="26"/>
      <c r="AB31" s="26"/>
      <c r="AC31" s="44">
        <v>3</v>
      </c>
      <c r="AD31" s="8" t="s">
        <v>34</v>
      </c>
      <c r="AE31" s="9">
        <v>8</v>
      </c>
      <c r="AF31" s="10">
        <v>8</v>
      </c>
      <c r="AG31" s="8" t="s">
        <v>34</v>
      </c>
      <c r="AH31" s="9" t="s">
        <v>34</v>
      </c>
      <c r="AI31" s="10" t="s">
        <v>34</v>
      </c>
      <c r="AJ31" s="8">
        <v>8</v>
      </c>
      <c r="AK31" s="9">
        <v>8</v>
      </c>
      <c r="AL31" s="10">
        <v>8</v>
      </c>
      <c r="AM31" s="6">
        <v>5</v>
      </c>
      <c r="AN31" s="26"/>
      <c r="AO31" s="27"/>
      <c r="AP31" s="26"/>
      <c r="AQ31" s="26"/>
      <c r="AR31" s="26"/>
      <c r="AS31" s="26"/>
      <c r="AT31" s="26"/>
      <c r="AU31" s="26"/>
      <c r="AV31" s="26"/>
      <c r="AW31" s="26"/>
      <c r="AX31" s="26"/>
      <c r="AY31" s="38"/>
      <c r="AZ31" s="26"/>
      <c r="BA31" s="26"/>
      <c r="BB31" s="44">
        <v>3</v>
      </c>
      <c r="BC31" s="8">
        <v>3</v>
      </c>
      <c r="BD31" s="9">
        <v>3</v>
      </c>
      <c r="BE31" s="10" t="s">
        <v>34</v>
      </c>
      <c r="BF31" s="8" t="s">
        <v>34</v>
      </c>
      <c r="BG31" s="9" t="s">
        <v>34</v>
      </c>
      <c r="BH31" s="10" t="s">
        <v>34</v>
      </c>
      <c r="BI31" s="8">
        <v>3</v>
      </c>
      <c r="BJ31" s="9" t="s">
        <v>34</v>
      </c>
      <c r="BK31" s="10" t="s">
        <v>34</v>
      </c>
      <c r="BL31" s="6">
        <v>3</v>
      </c>
      <c r="BM31" s="26"/>
      <c r="BN31" s="67" t="s">
        <v>34</v>
      </c>
      <c r="BO31" s="68" t="s">
        <v>34</v>
      </c>
      <c r="BP31" s="69"/>
      <c r="BQ31" s="27" t="s">
        <v>62</v>
      </c>
      <c r="BR31" s="26"/>
      <c r="BS31" s="26"/>
      <c r="BT31" s="26"/>
      <c r="BU31" s="26"/>
      <c r="BV31" s="26"/>
      <c r="BW31" s="26"/>
      <c r="BX31" s="26"/>
      <c r="BY31" s="26"/>
      <c r="BZ31" s="38"/>
      <c r="CA31" s="26"/>
      <c r="CB31" s="26"/>
      <c r="CC31" s="24">
        <v>2</v>
      </c>
      <c r="CD31" s="15">
        <v>-7</v>
      </c>
      <c r="CE31" s="16">
        <v>38</v>
      </c>
      <c r="CF31" s="18">
        <v>-1</v>
      </c>
      <c r="CG31" s="15">
        <v>28</v>
      </c>
      <c r="CH31" s="16">
        <v>38</v>
      </c>
      <c r="CI31" s="18">
        <v>-9</v>
      </c>
      <c r="CJ31" s="15">
        <v>-5</v>
      </c>
      <c r="CK31" s="16">
        <v>-6</v>
      </c>
      <c r="CL31" s="18">
        <v>-4</v>
      </c>
      <c r="CM31" s="26"/>
      <c r="CN31" s="26"/>
      <c r="CO31" s="27"/>
      <c r="CP31" s="27"/>
      <c r="CQ31" s="27"/>
      <c r="CR31" s="27"/>
      <c r="CS31" s="27"/>
      <c r="CT31" s="27"/>
      <c r="CU31" s="27"/>
      <c r="CV31" s="27"/>
      <c r="CW31" s="27"/>
      <c r="CX31" s="27"/>
      <c r="CY31" s="26"/>
      <c r="CZ31" s="26"/>
    </row>
    <row r="32" spans="1:104" ht="12.75" customHeight="1" thickTop="1" thickBot="1" x14ac:dyDescent="0.25">
      <c r="A32" s="26"/>
      <c r="B32" s="26"/>
      <c r="C32" s="26"/>
      <c r="D32" s="22">
        <v>3</v>
      </c>
      <c r="E32" s="35"/>
      <c r="F32" s="36">
        <v>9</v>
      </c>
      <c r="G32" s="37">
        <v>3</v>
      </c>
      <c r="H32" s="35"/>
      <c r="I32" s="36"/>
      <c r="J32" s="37"/>
      <c r="K32" s="63"/>
      <c r="L32" s="36"/>
      <c r="M32" s="37">
        <v>4</v>
      </c>
      <c r="N32" s="26"/>
      <c r="O32" s="27" t="s">
        <v>41</v>
      </c>
      <c r="P32" s="26"/>
      <c r="Q32" s="26"/>
      <c r="R32" s="26"/>
      <c r="S32" s="26"/>
      <c r="T32" s="26"/>
      <c r="U32" s="26"/>
      <c r="V32" s="26"/>
      <c r="W32" s="26"/>
      <c r="X32" s="26"/>
      <c r="Y32" s="26"/>
      <c r="Z32" s="38"/>
      <c r="AA32" s="26"/>
      <c r="AB32" s="26"/>
      <c r="AC32" s="44">
        <v>4</v>
      </c>
      <c r="AD32" s="2" t="s">
        <v>34</v>
      </c>
      <c r="AE32" s="3" t="s">
        <v>34</v>
      </c>
      <c r="AF32" s="4" t="s">
        <v>34</v>
      </c>
      <c r="AG32" s="2" t="s">
        <v>34</v>
      </c>
      <c r="AH32" s="3" t="s">
        <v>34</v>
      </c>
      <c r="AI32" s="4">
        <v>8</v>
      </c>
      <c r="AJ32" s="2">
        <v>8</v>
      </c>
      <c r="AK32" s="3">
        <v>8</v>
      </c>
      <c r="AL32" s="4" t="s">
        <v>34</v>
      </c>
      <c r="AM32" s="6">
        <v>3</v>
      </c>
      <c r="AN32" s="26"/>
      <c r="AO32" s="23" t="s">
        <v>34</v>
      </c>
      <c r="AP32" s="65" t="s">
        <v>34</v>
      </c>
      <c r="AQ32" s="66" t="s">
        <v>34</v>
      </c>
      <c r="AR32" s="26"/>
      <c r="AS32" s="26"/>
      <c r="AT32" s="26"/>
      <c r="AU32" s="26"/>
      <c r="AV32" s="26"/>
      <c r="AW32" s="26"/>
      <c r="AX32" s="26"/>
      <c r="AY32" s="38"/>
      <c r="AZ32" s="26"/>
      <c r="BA32" s="26"/>
      <c r="BB32" s="44">
        <v>4</v>
      </c>
      <c r="BC32" s="2">
        <v>3</v>
      </c>
      <c r="BD32" s="3">
        <v>3</v>
      </c>
      <c r="BE32" s="4">
        <v>3</v>
      </c>
      <c r="BF32" s="2" t="s">
        <v>34</v>
      </c>
      <c r="BG32" s="3">
        <v>3</v>
      </c>
      <c r="BH32" s="4" t="s">
        <v>34</v>
      </c>
      <c r="BI32" s="2" t="s">
        <v>34</v>
      </c>
      <c r="BJ32" s="3" t="s">
        <v>34</v>
      </c>
      <c r="BK32" s="4" t="s">
        <v>34</v>
      </c>
      <c r="BL32" s="6">
        <v>4</v>
      </c>
      <c r="BM32" s="26"/>
      <c r="BN32" s="70" t="s">
        <v>34</v>
      </c>
      <c r="BO32" s="71" t="s">
        <v>34</v>
      </c>
      <c r="BP32" s="72" t="s">
        <v>34</v>
      </c>
      <c r="BQ32" s="26"/>
      <c r="BR32" s="26"/>
      <c r="BS32" s="26"/>
      <c r="BT32" s="26"/>
      <c r="BU32" s="26"/>
      <c r="BV32" s="26"/>
      <c r="BW32" s="26"/>
      <c r="BX32" s="26"/>
      <c r="BY32" s="26"/>
      <c r="BZ32" s="38"/>
      <c r="CA32" s="26"/>
      <c r="CB32" s="26"/>
      <c r="CC32" s="24">
        <v>3</v>
      </c>
      <c r="CD32" s="19" t="s">
        <v>34</v>
      </c>
      <c r="CE32" s="20">
        <v>346</v>
      </c>
      <c r="CF32" s="21" t="s">
        <v>34</v>
      </c>
      <c r="CG32" s="19">
        <v>12</v>
      </c>
      <c r="CH32" s="20">
        <v>134</v>
      </c>
      <c r="CI32" s="21">
        <v>14</v>
      </c>
      <c r="CJ32" s="19">
        <v>-8</v>
      </c>
      <c r="CK32" s="20">
        <v>-9</v>
      </c>
      <c r="CL32" s="21">
        <v>-7</v>
      </c>
      <c r="CM32" s="26"/>
      <c r="CN32" s="26"/>
      <c r="CO32" s="27"/>
      <c r="CP32" s="27"/>
      <c r="CQ32" s="27"/>
      <c r="CR32" s="27"/>
      <c r="CS32" s="27"/>
      <c r="CT32" s="27"/>
      <c r="CU32" s="27"/>
      <c r="CV32" s="27"/>
      <c r="CW32" s="27"/>
      <c r="CX32" s="27"/>
      <c r="CY32" s="26"/>
      <c r="CZ32" s="26"/>
    </row>
    <row r="33" spans="1:104" ht="12.75" customHeight="1" x14ac:dyDescent="0.2">
      <c r="A33" s="26"/>
      <c r="B33" s="26"/>
      <c r="C33" s="26"/>
      <c r="D33" s="22">
        <v>4</v>
      </c>
      <c r="E33" s="29"/>
      <c r="F33" s="30"/>
      <c r="G33" s="31">
        <v>5</v>
      </c>
      <c r="H33" s="29">
        <v>8</v>
      </c>
      <c r="I33" s="30"/>
      <c r="J33" s="31">
        <v>3</v>
      </c>
      <c r="K33" s="29"/>
      <c r="L33" s="30"/>
      <c r="M33" s="31">
        <v>6</v>
      </c>
      <c r="N33" s="26"/>
      <c r="O33" s="26"/>
      <c r="P33" s="26"/>
      <c r="Q33" s="26"/>
      <c r="R33" s="26"/>
      <c r="S33" s="26"/>
      <c r="T33" s="26"/>
      <c r="U33" s="26"/>
      <c r="V33" s="26"/>
      <c r="W33" s="26"/>
      <c r="X33" s="26"/>
      <c r="Y33" s="26"/>
      <c r="Z33" s="38"/>
      <c r="AA33" s="26"/>
      <c r="AB33" s="26"/>
      <c r="AC33" s="44">
        <v>5</v>
      </c>
      <c r="AD33" s="5" t="s">
        <v>34</v>
      </c>
      <c r="AE33" s="6" t="s">
        <v>34</v>
      </c>
      <c r="AF33" s="7" t="s">
        <v>34</v>
      </c>
      <c r="AG33" s="5" t="s">
        <v>34</v>
      </c>
      <c r="AH33" s="6">
        <v>8</v>
      </c>
      <c r="AI33" s="7">
        <v>8</v>
      </c>
      <c r="AJ33" s="5" t="s">
        <v>34</v>
      </c>
      <c r="AK33" s="6">
        <v>8</v>
      </c>
      <c r="AL33" s="7">
        <v>8</v>
      </c>
      <c r="AM33" s="6">
        <v>4</v>
      </c>
      <c r="AN33" s="26"/>
      <c r="AO33" s="67" t="s">
        <v>34</v>
      </c>
      <c r="AP33" s="68" t="s">
        <v>34</v>
      </c>
      <c r="AQ33" s="69">
        <v>8</v>
      </c>
      <c r="AR33" s="27" t="s">
        <v>50</v>
      </c>
      <c r="AS33" s="26"/>
      <c r="AT33" s="26"/>
      <c r="AU33" s="26"/>
      <c r="AV33" s="26"/>
      <c r="AW33" s="26"/>
      <c r="AX33" s="26"/>
      <c r="AY33" s="38"/>
      <c r="AZ33" s="26"/>
      <c r="BA33" s="26"/>
      <c r="BB33" s="44">
        <v>5</v>
      </c>
      <c r="BC33" s="5" t="s">
        <v>34</v>
      </c>
      <c r="BD33" s="6" t="s">
        <v>34</v>
      </c>
      <c r="BE33" s="7" t="s">
        <v>34</v>
      </c>
      <c r="BF33" s="5" t="s">
        <v>34</v>
      </c>
      <c r="BG33" s="6" t="s">
        <v>34</v>
      </c>
      <c r="BH33" s="7" t="s">
        <v>34</v>
      </c>
      <c r="BI33" s="5" t="s">
        <v>34</v>
      </c>
      <c r="BJ33" s="6" t="s">
        <v>34</v>
      </c>
      <c r="BK33" s="7" t="s">
        <v>34</v>
      </c>
      <c r="BL33" s="6">
        <v>0</v>
      </c>
      <c r="BM33" s="26"/>
      <c r="BN33" s="27"/>
      <c r="BO33" s="26"/>
      <c r="BP33" s="26"/>
      <c r="BQ33" s="26"/>
      <c r="BR33" s="26"/>
      <c r="BS33" s="26"/>
      <c r="BT33" s="26"/>
      <c r="BU33" s="26"/>
      <c r="BV33" s="26"/>
      <c r="BW33" s="26"/>
      <c r="BX33" s="26"/>
      <c r="BY33" s="26"/>
      <c r="BZ33" s="38"/>
      <c r="CA33" s="26"/>
      <c r="CB33" s="26"/>
      <c r="CC33" s="24">
        <v>4</v>
      </c>
      <c r="CD33" s="13">
        <v>46</v>
      </c>
      <c r="CE33" s="14">
        <v>-5</v>
      </c>
      <c r="CF33" s="17">
        <v>467</v>
      </c>
      <c r="CG33" s="13">
        <v>-9</v>
      </c>
      <c r="CH33" s="14">
        <v>47</v>
      </c>
      <c r="CI33" s="17">
        <v>-2</v>
      </c>
      <c r="CJ33" s="13">
        <v>-3</v>
      </c>
      <c r="CK33" s="14">
        <v>-1</v>
      </c>
      <c r="CL33" s="17">
        <v>-8</v>
      </c>
      <c r="CM33" s="26"/>
      <c r="CN33" s="26"/>
      <c r="CO33" s="27"/>
      <c r="CP33" s="27"/>
      <c r="CQ33" s="27"/>
      <c r="CR33" s="27"/>
      <c r="CS33" s="27"/>
      <c r="CT33" s="27"/>
      <c r="CU33" s="27"/>
      <c r="CV33" s="27"/>
      <c r="CW33" s="27"/>
      <c r="CX33" s="27"/>
      <c r="CY33" s="26"/>
      <c r="CZ33" s="26"/>
    </row>
    <row r="34" spans="1:104" ht="12.75" customHeight="1" x14ac:dyDescent="0.2">
      <c r="A34" s="26"/>
      <c r="B34" s="26"/>
      <c r="C34" s="26"/>
      <c r="D34" s="22">
        <v>5</v>
      </c>
      <c r="E34" s="32"/>
      <c r="F34" s="33"/>
      <c r="G34" s="34">
        <v>8</v>
      </c>
      <c r="H34" s="32"/>
      <c r="I34" s="33"/>
      <c r="J34" s="34"/>
      <c r="K34" s="32">
        <v>1</v>
      </c>
      <c r="L34" s="33"/>
      <c r="M34" s="34"/>
      <c r="N34" s="26"/>
      <c r="O34" s="26"/>
      <c r="P34" s="26"/>
      <c r="Q34" s="26"/>
      <c r="R34" s="26"/>
      <c r="S34" s="26"/>
      <c r="T34" s="26"/>
      <c r="U34" s="26"/>
      <c r="V34" s="26"/>
      <c r="W34" s="26"/>
      <c r="X34" s="26"/>
      <c r="Y34" s="26"/>
      <c r="Z34" s="38"/>
      <c r="AA34" s="26"/>
      <c r="AB34" s="26"/>
      <c r="AC34" s="44">
        <v>6</v>
      </c>
      <c r="AD34" s="8" t="s">
        <v>34</v>
      </c>
      <c r="AE34" s="9" t="s">
        <v>34</v>
      </c>
      <c r="AF34" s="10" t="s">
        <v>34</v>
      </c>
      <c r="AG34" s="8" t="s">
        <v>34</v>
      </c>
      <c r="AH34" s="9" t="s">
        <v>34</v>
      </c>
      <c r="AI34" s="10" t="s">
        <v>34</v>
      </c>
      <c r="AJ34" s="8" t="s">
        <v>34</v>
      </c>
      <c r="AK34" s="9" t="s">
        <v>34</v>
      </c>
      <c r="AL34" s="10" t="s">
        <v>34</v>
      </c>
      <c r="AM34" s="6">
        <v>0</v>
      </c>
      <c r="AN34" s="26"/>
      <c r="AO34" s="70" t="s">
        <v>34</v>
      </c>
      <c r="AP34" s="71" t="s">
        <v>34</v>
      </c>
      <c r="AQ34" s="72" t="s">
        <v>34</v>
      </c>
      <c r="AR34" s="26"/>
      <c r="AS34" s="26"/>
      <c r="AT34" s="26"/>
      <c r="AU34" s="26"/>
      <c r="AV34" s="26"/>
      <c r="AW34" s="26"/>
      <c r="AX34" s="26"/>
      <c r="AY34" s="38"/>
      <c r="AZ34" s="26"/>
      <c r="BA34" s="26"/>
      <c r="BB34" s="44">
        <v>6</v>
      </c>
      <c r="BC34" s="8" t="s">
        <v>34</v>
      </c>
      <c r="BD34" s="9">
        <v>3</v>
      </c>
      <c r="BE34" s="10">
        <v>3</v>
      </c>
      <c r="BF34" s="8" t="s">
        <v>34</v>
      </c>
      <c r="BG34" s="9">
        <v>3</v>
      </c>
      <c r="BH34" s="10" t="s">
        <v>34</v>
      </c>
      <c r="BI34" s="8" t="s">
        <v>34</v>
      </c>
      <c r="BJ34" s="9" t="s">
        <v>34</v>
      </c>
      <c r="BK34" s="10" t="s">
        <v>34</v>
      </c>
      <c r="BL34" s="6">
        <v>3</v>
      </c>
      <c r="BM34" s="26"/>
      <c r="BN34" s="27"/>
      <c r="BO34" s="26"/>
      <c r="BP34" s="26"/>
      <c r="BQ34" s="26"/>
      <c r="BR34" s="26"/>
      <c r="BS34" s="26"/>
      <c r="BT34" s="26"/>
      <c r="BU34" s="26"/>
      <c r="BV34" s="26"/>
      <c r="BW34" s="26"/>
      <c r="BX34" s="26"/>
      <c r="BY34" s="26"/>
      <c r="BZ34" s="38"/>
      <c r="CA34" s="26"/>
      <c r="CB34" s="26"/>
      <c r="CC34" s="24">
        <v>5</v>
      </c>
      <c r="CD34" s="15">
        <v>-3</v>
      </c>
      <c r="CE34" s="16">
        <v>-9</v>
      </c>
      <c r="CF34" s="18">
        <v>-8</v>
      </c>
      <c r="CG34" s="15">
        <v>16</v>
      </c>
      <c r="CH34" s="16">
        <v>15</v>
      </c>
      <c r="CI34" s="18">
        <v>156</v>
      </c>
      <c r="CJ34" s="15">
        <v>-4</v>
      </c>
      <c r="CK34" s="16">
        <v>-7</v>
      </c>
      <c r="CL34" s="18">
        <v>-2</v>
      </c>
      <c r="CM34" s="26"/>
      <c r="CN34" s="26"/>
      <c r="CO34" s="27"/>
      <c r="CP34" s="26"/>
      <c r="CQ34" s="26"/>
      <c r="CR34" s="26"/>
      <c r="CS34" s="26"/>
      <c r="CT34" s="26"/>
      <c r="CU34" s="26"/>
      <c r="CV34" s="26"/>
      <c r="CW34" s="26"/>
      <c r="CX34" s="26"/>
      <c r="CY34" s="26"/>
      <c r="CZ34" s="26"/>
    </row>
    <row r="35" spans="1:104" ht="12.75" customHeight="1" thickBot="1" x14ac:dyDescent="0.25">
      <c r="A35" s="26"/>
      <c r="B35" s="26"/>
      <c r="C35" s="26"/>
      <c r="D35" s="22">
        <v>6</v>
      </c>
      <c r="E35" s="35">
        <v>9</v>
      </c>
      <c r="F35" s="36"/>
      <c r="G35" s="37"/>
      <c r="H35" s="35">
        <v>7</v>
      </c>
      <c r="I35" s="36"/>
      <c r="J35" s="37">
        <v>2</v>
      </c>
      <c r="K35" s="35">
        <v>3</v>
      </c>
      <c r="L35" s="36"/>
      <c r="M35" s="37"/>
      <c r="N35" s="26"/>
      <c r="O35" s="26"/>
      <c r="P35" s="26"/>
      <c r="Q35" s="26"/>
      <c r="R35" s="26"/>
      <c r="S35" s="26"/>
      <c r="T35" s="26"/>
      <c r="U35" s="26"/>
      <c r="V35" s="26"/>
      <c r="W35" s="26"/>
      <c r="X35" s="26"/>
      <c r="Y35" s="26"/>
      <c r="Z35" s="38"/>
      <c r="AA35" s="26"/>
      <c r="AB35" s="26"/>
      <c r="AC35" s="44">
        <v>7</v>
      </c>
      <c r="AD35" s="23" t="s">
        <v>34</v>
      </c>
      <c r="AE35" s="65" t="s">
        <v>34</v>
      </c>
      <c r="AF35" s="66" t="s">
        <v>34</v>
      </c>
      <c r="AG35" s="2" t="s">
        <v>34</v>
      </c>
      <c r="AH35" s="3" t="s">
        <v>34</v>
      </c>
      <c r="AI35" s="4" t="s">
        <v>34</v>
      </c>
      <c r="AJ35" s="2" t="s">
        <v>34</v>
      </c>
      <c r="AK35" s="3" t="s">
        <v>34</v>
      </c>
      <c r="AL35" s="4" t="s">
        <v>34</v>
      </c>
      <c r="AM35" s="6">
        <v>0</v>
      </c>
      <c r="AN35" s="26"/>
      <c r="AO35" s="27"/>
      <c r="AP35" s="26"/>
      <c r="AQ35" s="26"/>
      <c r="AR35" s="26"/>
      <c r="AS35" s="26"/>
      <c r="AT35" s="26"/>
      <c r="AU35" s="26"/>
      <c r="AV35" s="26"/>
      <c r="AW35" s="26"/>
      <c r="AX35" s="26"/>
      <c r="AY35" s="38"/>
      <c r="AZ35" s="26"/>
      <c r="BA35" s="26"/>
      <c r="BB35" s="44">
        <v>7</v>
      </c>
      <c r="BC35" s="2" t="s">
        <v>34</v>
      </c>
      <c r="BD35" s="3" t="s">
        <v>34</v>
      </c>
      <c r="BE35" s="4">
        <v>3</v>
      </c>
      <c r="BF35" s="2">
        <v>3</v>
      </c>
      <c r="BG35" s="3">
        <v>3</v>
      </c>
      <c r="BH35" s="4" t="s">
        <v>34</v>
      </c>
      <c r="BI35" s="2" t="s">
        <v>34</v>
      </c>
      <c r="BJ35" s="3">
        <v>3</v>
      </c>
      <c r="BK35" s="4" t="s">
        <v>34</v>
      </c>
      <c r="BL35" s="6">
        <v>4</v>
      </c>
      <c r="BM35" s="26"/>
      <c r="BN35" s="27"/>
      <c r="BO35" s="26"/>
      <c r="BP35" s="26"/>
      <c r="BQ35" s="26"/>
      <c r="BR35" s="26"/>
      <c r="BS35" s="26"/>
      <c r="BT35" s="26"/>
      <c r="BU35" s="26"/>
      <c r="BV35" s="26"/>
      <c r="BW35" s="26"/>
      <c r="BX35" s="26"/>
      <c r="BY35" s="26"/>
      <c r="BZ35" s="38"/>
      <c r="CA35" s="26"/>
      <c r="CB35" s="26"/>
      <c r="CC35" s="24">
        <v>6</v>
      </c>
      <c r="CD35" s="19">
        <v>-1</v>
      </c>
      <c r="CE35" s="20">
        <v>-2</v>
      </c>
      <c r="CF35" s="21">
        <v>47</v>
      </c>
      <c r="CG35" s="19">
        <v>-3</v>
      </c>
      <c r="CH35" s="20">
        <v>47</v>
      </c>
      <c r="CI35" s="21">
        <v>-8</v>
      </c>
      <c r="CJ35" s="19">
        <v>-9</v>
      </c>
      <c r="CK35" s="20">
        <v>-5</v>
      </c>
      <c r="CL35" s="21">
        <v>-6</v>
      </c>
      <c r="CM35" s="26"/>
      <c r="CN35" s="26"/>
      <c r="CO35" s="27"/>
      <c r="CP35" s="26"/>
      <c r="CQ35" s="26"/>
      <c r="CR35" s="26"/>
      <c r="CS35" s="26"/>
      <c r="CT35" s="26"/>
      <c r="CU35" s="26"/>
      <c r="CV35" s="26"/>
      <c r="CW35" s="26"/>
      <c r="CX35" s="26"/>
      <c r="CY35" s="26"/>
      <c r="CZ35" s="26"/>
    </row>
    <row r="36" spans="1:104" ht="12.75" customHeight="1" thickTop="1" thickBot="1" x14ac:dyDescent="0.25">
      <c r="A36" s="26"/>
      <c r="B36" s="26"/>
      <c r="C36" s="26"/>
      <c r="D36" s="23">
        <v>7</v>
      </c>
      <c r="E36" s="29">
        <v>1</v>
      </c>
      <c r="F36" s="30"/>
      <c r="G36" s="31"/>
      <c r="H36" s="29"/>
      <c r="I36" s="30"/>
      <c r="J36" s="31"/>
      <c r="K36" s="29">
        <v>7</v>
      </c>
      <c r="L36" s="30">
        <v>3</v>
      </c>
      <c r="M36" s="31"/>
      <c r="N36" s="26"/>
      <c r="O36" s="26"/>
      <c r="P36" s="26"/>
      <c r="Q36" s="26"/>
      <c r="R36" s="26"/>
      <c r="S36" s="26"/>
      <c r="T36" s="26"/>
      <c r="U36" s="26"/>
      <c r="V36" s="26"/>
      <c r="W36" s="26"/>
      <c r="X36" s="26"/>
      <c r="Y36" s="26"/>
      <c r="Z36" s="38"/>
      <c r="AA36" s="26"/>
      <c r="AB36" s="26"/>
      <c r="AC36" s="44">
        <v>8</v>
      </c>
      <c r="AD36" s="67" t="s">
        <v>34</v>
      </c>
      <c r="AE36" s="68" t="s">
        <v>34</v>
      </c>
      <c r="AF36" s="73">
        <v>8</v>
      </c>
      <c r="AG36" s="6" t="s">
        <v>34</v>
      </c>
      <c r="AH36" s="6" t="s">
        <v>34</v>
      </c>
      <c r="AI36" s="7" t="s">
        <v>34</v>
      </c>
      <c r="AJ36" s="5">
        <v>8</v>
      </c>
      <c r="AK36" s="6">
        <v>8</v>
      </c>
      <c r="AL36" s="7">
        <v>8</v>
      </c>
      <c r="AM36" s="6">
        <v>4</v>
      </c>
      <c r="AN36" s="26"/>
      <c r="AO36" s="27" t="s">
        <v>51</v>
      </c>
      <c r="AP36" s="26"/>
      <c r="AQ36" s="26"/>
      <c r="AR36" s="26"/>
      <c r="AS36" s="26"/>
      <c r="AT36" s="26"/>
      <c r="AU36" s="26"/>
      <c r="AV36" s="26"/>
      <c r="AW36" s="26"/>
      <c r="AX36" s="26"/>
      <c r="AY36" s="38"/>
      <c r="AZ36" s="26"/>
      <c r="BA36" s="26"/>
      <c r="BB36" s="44">
        <v>8</v>
      </c>
      <c r="BC36" s="5" t="s">
        <v>34</v>
      </c>
      <c r="BD36" s="6">
        <v>3</v>
      </c>
      <c r="BE36" s="7">
        <v>3</v>
      </c>
      <c r="BF36" s="6" t="s">
        <v>34</v>
      </c>
      <c r="BG36" s="6" t="s">
        <v>34</v>
      </c>
      <c r="BH36" s="7" t="s">
        <v>34</v>
      </c>
      <c r="BI36" s="5" t="s">
        <v>34</v>
      </c>
      <c r="BJ36" s="6">
        <v>3</v>
      </c>
      <c r="BK36" s="7" t="s">
        <v>34</v>
      </c>
      <c r="BL36" s="6">
        <v>3</v>
      </c>
      <c r="BM36" s="26"/>
      <c r="BN36" s="27"/>
      <c r="BO36" s="26"/>
      <c r="BP36" s="26"/>
      <c r="BQ36" s="26"/>
      <c r="BR36" s="26"/>
      <c r="BS36" s="26"/>
      <c r="BT36" s="26"/>
      <c r="BU36" s="26"/>
      <c r="BV36" s="26"/>
      <c r="BW36" s="26"/>
      <c r="BX36" s="26"/>
      <c r="BY36" s="26"/>
      <c r="BZ36" s="38"/>
      <c r="CA36" s="26"/>
      <c r="CB36" s="26"/>
      <c r="CC36" s="24">
        <v>7</v>
      </c>
      <c r="CD36" s="13" t="s">
        <v>34</v>
      </c>
      <c r="CE36" s="14">
        <v>-7</v>
      </c>
      <c r="CF36" s="17">
        <v>-9</v>
      </c>
      <c r="CG36" s="13">
        <v>168</v>
      </c>
      <c r="CH36" s="14">
        <v>158</v>
      </c>
      <c r="CI36" s="17">
        <v>156</v>
      </c>
      <c r="CJ36" s="13">
        <v>12</v>
      </c>
      <c r="CK36" s="14">
        <v>234</v>
      </c>
      <c r="CL36" s="17">
        <v>135</v>
      </c>
      <c r="CM36" s="26"/>
      <c r="CN36" s="26"/>
      <c r="CO36" s="27"/>
      <c r="CP36" s="26"/>
      <c r="CQ36" s="26"/>
      <c r="CR36" s="26"/>
      <c r="CS36" s="26"/>
      <c r="CT36" s="26"/>
      <c r="CU36" s="26"/>
      <c r="CV36" s="26"/>
      <c r="CW36" s="26"/>
      <c r="CX36" s="26"/>
      <c r="CY36" s="26"/>
      <c r="CZ36" s="26"/>
    </row>
    <row r="37" spans="1:104" ht="12.75" customHeight="1" thickTop="1" x14ac:dyDescent="0.2">
      <c r="A37" s="26"/>
      <c r="B37" s="26"/>
      <c r="C37" s="26"/>
      <c r="D37" s="23">
        <v>8</v>
      </c>
      <c r="E37" s="32">
        <v>8</v>
      </c>
      <c r="F37" s="33">
        <v>3</v>
      </c>
      <c r="G37" s="34"/>
      <c r="H37" s="32">
        <v>1</v>
      </c>
      <c r="I37" s="33">
        <v>6</v>
      </c>
      <c r="J37" s="34">
        <v>9</v>
      </c>
      <c r="K37" s="32"/>
      <c r="L37" s="33"/>
      <c r="M37" s="34">
        <v>5</v>
      </c>
      <c r="N37" s="26"/>
      <c r="O37" s="26"/>
      <c r="P37" s="26"/>
      <c r="Q37" s="26"/>
      <c r="R37" s="26"/>
      <c r="S37" s="26"/>
      <c r="T37" s="26"/>
      <c r="U37" s="26"/>
      <c r="V37" s="26"/>
      <c r="W37" s="26"/>
      <c r="X37" s="26"/>
      <c r="Y37" s="26"/>
      <c r="Z37" s="38"/>
      <c r="AA37" s="26"/>
      <c r="AB37" s="26"/>
      <c r="AC37" s="44">
        <v>9</v>
      </c>
      <c r="AD37" s="70" t="s">
        <v>34</v>
      </c>
      <c r="AE37" s="71" t="s">
        <v>34</v>
      </c>
      <c r="AF37" s="72" t="s">
        <v>34</v>
      </c>
      <c r="AG37" s="8" t="s">
        <v>34</v>
      </c>
      <c r="AH37" s="9" t="s">
        <v>34</v>
      </c>
      <c r="AI37" s="10" t="s">
        <v>34</v>
      </c>
      <c r="AJ37" s="8">
        <v>8</v>
      </c>
      <c r="AK37" s="9" t="s">
        <v>34</v>
      </c>
      <c r="AL37" s="10">
        <v>8</v>
      </c>
      <c r="AM37" s="6">
        <v>2</v>
      </c>
      <c r="AN37" s="26"/>
      <c r="AO37" s="27"/>
      <c r="AP37" s="26"/>
      <c r="AQ37" s="26"/>
      <c r="AR37" s="26"/>
      <c r="AS37" s="26"/>
      <c r="AT37" s="26"/>
      <c r="AU37" s="26"/>
      <c r="AV37" s="26"/>
      <c r="AW37" s="26"/>
      <c r="AX37" s="26"/>
      <c r="AY37" s="38"/>
      <c r="AZ37" s="26"/>
      <c r="BA37" s="26"/>
      <c r="BB37" s="44">
        <v>9</v>
      </c>
      <c r="BC37" s="8">
        <v>3</v>
      </c>
      <c r="BD37" s="9">
        <v>3</v>
      </c>
      <c r="BE37" s="10">
        <v>3</v>
      </c>
      <c r="BF37" s="8">
        <v>3</v>
      </c>
      <c r="BG37" s="9">
        <v>3</v>
      </c>
      <c r="BH37" s="10" t="s">
        <v>34</v>
      </c>
      <c r="BI37" s="8">
        <v>3</v>
      </c>
      <c r="BJ37" s="9">
        <v>3</v>
      </c>
      <c r="BK37" s="10" t="s">
        <v>34</v>
      </c>
      <c r="BL37" s="6">
        <v>7</v>
      </c>
      <c r="BM37" s="26"/>
      <c r="BN37" s="27"/>
      <c r="BO37" s="26"/>
      <c r="BP37" s="26"/>
      <c r="BQ37" s="26"/>
      <c r="BR37" s="26"/>
      <c r="BS37" s="26"/>
      <c r="BT37" s="26"/>
      <c r="BU37" s="26"/>
      <c r="BV37" s="26"/>
      <c r="BW37" s="26"/>
      <c r="BX37" s="26"/>
      <c r="BY37" s="26"/>
      <c r="BZ37" s="38"/>
      <c r="CA37" s="26"/>
      <c r="CB37" s="26"/>
      <c r="CC37" s="24">
        <v>8</v>
      </c>
      <c r="CD37" s="15">
        <v>-8</v>
      </c>
      <c r="CE37" s="16">
        <v>134</v>
      </c>
      <c r="CF37" s="18" t="s">
        <v>34</v>
      </c>
      <c r="CG37" s="15">
        <v>-7</v>
      </c>
      <c r="CH37" s="16">
        <v>-9</v>
      </c>
      <c r="CI37" s="18">
        <v>15</v>
      </c>
      <c r="CJ37" s="15">
        <v>-6</v>
      </c>
      <c r="CK37" s="16">
        <v>234</v>
      </c>
      <c r="CL37" s="18">
        <v>135</v>
      </c>
      <c r="CM37" s="26"/>
      <c r="CN37" s="26"/>
      <c r="CO37" s="27"/>
      <c r="CP37" s="26"/>
      <c r="CQ37" s="26"/>
      <c r="CR37" s="26"/>
      <c r="CS37" s="26"/>
      <c r="CT37" s="26"/>
      <c r="CU37" s="26"/>
      <c r="CV37" s="26"/>
      <c r="CW37" s="26"/>
      <c r="CX37" s="26"/>
      <c r="CY37" s="26"/>
      <c r="CZ37" s="26"/>
    </row>
    <row r="38" spans="1:104" ht="12.75" customHeight="1" thickBot="1" x14ac:dyDescent="0.25">
      <c r="A38" s="26"/>
      <c r="B38" s="26"/>
      <c r="C38" s="26"/>
      <c r="D38" s="24">
        <v>9</v>
      </c>
      <c r="E38" s="35"/>
      <c r="F38" s="36">
        <v>4</v>
      </c>
      <c r="G38" s="37">
        <v>9</v>
      </c>
      <c r="H38" s="35"/>
      <c r="I38" s="36"/>
      <c r="J38" s="37"/>
      <c r="K38" s="35"/>
      <c r="L38" s="36"/>
      <c r="M38" s="37"/>
      <c r="N38" s="26"/>
      <c r="O38" s="26"/>
      <c r="P38" s="26"/>
      <c r="Q38" s="26"/>
      <c r="R38" s="26"/>
      <c r="S38" s="26"/>
      <c r="T38" s="26"/>
      <c r="U38" s="26"/>
      <c r="V38" s="26"/>
      <c r="W38" s="26"/>
      <c r="X38" s="26"/>
      <c r="Y38" s="26"/>
      <c r="Z38" s="38"/>
      <c r="AA38" s="26"/>
      <c r="AB38" s="26"/>
      <c r="AC38" s="44"/>
      <c r="AD38" s="6">
        <v>0</v>
      </c>
      <c r="AE38" s="6">
        <v>2</v>
      </c>
      <c r="AF38" s="6">
        <v>4</v>
      </c>
      <c r="AG38" s="6">
        <v>0</v>
      </c>
      <c r="AH38" s="6">
        <v>3</v>
      </c>
      <c r="AI38" s="6">
        <v>3</v>
      </c>
      <c r="AJ38" s="6">
        <v>5</v>
      </c>
      <c r="AK38" s="6">
        <v>4</v>
      </c>
      <c r="AL38" s="6">
        <v>5</v>
      </c>
      <c r="AM38" s="44"/>
      <c r="AN38" s="26"/>
      <c r="AO38" s="27" t="s">
        <v>52</v>
      </c>
      <c r="AP38" s="26"/>
      <c r="AQ38" s="26"/>
      <c r="AR38" s="26"/>
      <c r="AS38" s="26"/>
      <c r="AT38" s="26"/>
      <c r="AU38" s="26"/>
      <c r="AV38" s="26"/>
      <c r="AW38" s="26"/>
      <c r="AX38" s="26"/>
      <c r="AY38" s="38"/>
      <c r="AZ38" s="26"/>
      <c r="BA38" s="26"/>
      <c r="BB38" s="44"/>
      <c r="BC38" s="6">
        <v>4</v>
      </c>
      <c r="BD38" s="6">
        <v>6</v>
      </c>
      <c r="BE38" s="6">
        <v>6</v>
      </c>
      <c r="BF38" s="6">
        <v>2</v>
      </c>
      <c r="BG38" s="6">
        <v>4</v>
      </c>
      <c r="BH38" s="6">
        <v>0</v>
      </c>
      <c r="BI38" s="6">
        <v>2</v>
      </c>
      <c r="BJ38" s="6">
        <v>4</v>
      </c>
      <c r="BK38" s="6">
        <v>0</v>
      </c>
      <c r="BL38" s="44"/>
      <c r="BM38" s="26"/>
      <c r="BN38" s="27"/>
      <c r="BO38" s="26"/>
      <c r="BP38" s="26"/>
      <c r="BQ38" s="26"/>
      <c r="BR38" s="26"/>
      <c r="BS38" s="26"/>
      <c r="BT38" s="26"/>
      <c r="BU38" s="26"/>
      <c r="BV38" s="26"/>
      <c r="BW38" s="26"/>
      <c r="BX38" s="26"/>
      <c r="BY38" s="26"/>
      <c r="BZ38" s="38"/>
      <c r="CA38" s="26"/>
      <c r="CB38" s="26"/>
      <c r="CC38" s="24">
        <v>9</v>
      </c>
      <c r="CD38" s="19">
        <v>56</v>
      </c>
      <c r="CE38" s="20">
        <v>16</v>
      </c>
      <c r="CF38" s="21">
        <v>56</v>
      </c>
      <c r="CG38" s="19">
        <v>-4</v>
      </c>
      <c r="CH38" s="20">
        <v>-2</v>
      </c>
      <c r="CI38" s="21">
        <v>-3</v>
      </c>
      <c r="CJ38" s="19">
        <v>-7</v>
      </c>
      <c r="CK38" s="20">
        <v>-8</v>
      </c>
      <c r="CL38" s="21">
        <v>-9</v>
      </c>
      <c r="CM38" s="26"/>
      <c r="CN38" s="26"/>
      <c r="CO38" s="27"/>
      <c r="CP38" s="26"/>
      <c r="CQ38" s="26"/>
      <c r="CR38" s="26"/>
      <c r="CS38" s="26"/>
      <c r="CT38" s="26"/>
      <c r="CU38" s="26"/>
      <c r="CV38" s="26"/>
      <c r="CW38" s="26"/>
      <c r="CX38" s="26"/>
      <c r="CY38" s="26"/>
      <c r="CZ38" s="26"/>
    </row>
    <row r="39" spans="1:104" ht="12.75" customHeight="1" x14ac:dyDescent="0.2">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38"/>
      <c r="AA39" s="26"/>
      <c r="AB39" s="26"/>
      <c r="AC39" s="26"/>
      <c r="AD39" s="26"/>
      <c r="AE39" s="26"/>
      <c r="AF39" s="26"/>
      <c r="AG39" s="26"/>
      <c r="AH39" s="26"/>
      <c r="AI39" s="26"/>
      <c r="AJ39" s="26"/>
      <c r="AK39" s="26"/>
      <c r="AL39" s="26"/>
      <c r="AM39" s="26"/>
      <c r="AN39" s="26"/>
      <c r="AO39" s="27" t="s">
        <v>53</v>
      </c>
      <c r="AP39" s="26"/>
      <c r="AQ39" s="26"/>
      <c r="AR39" s="26"/>
      <c r="AS39" s="26"/>
      <c r="AT39" s="26"/>
      <c r="AU39" s="26"/>
      <c r="AV39" s="26"/>
      <c r="AW39" s="26"/>
      <c r="AX39" s="26"/>
      <c r="AY39" s="38"/>
      <c r="AZ39" s="26"/>
      <c r="BA39" s="26"/>
      <c r="BB39" s="26"/>
      <c r="BC39" s="26"/>
      <c r="BD39" s="26"/>
      <c r="BE39" s="26"/>
      <c r="BF39" s="26"/>
      <c r="BG39" s="26"/>
      <c r="BH39" s="26"/>
      <c r="BI39" s="26"/>
      <c r="BJ39" s="26"/>
      <c r="BK39" s="26"/>
      <c r="BL39" s="26"/>
      <c r="BM39" s="26"/>
      <c r="BN39" s="27"/>
      <c r="BO39" s="26"/>
      <c r="BP39" s="26"/>
      <c r="BQ39" s="26"/>
      <c r="BR39" s="26"/>
      <c r="BS39" s="26"/>
      <c r="BT39" s="26"/>
      <c r="BU39" s="26"/>
      <c r="BV39" s="26"/>
      <c r="BW39" s="26"/>
      <c r="BX39" s="26"/>
      <c r="BY39" s="26"/>
      <c r="BZ39" s="38"/>
      <c r="CA39" s="26"/>
      <c r="CB39" s="26"/>
      <c r="CC39" s="26"/>
      <c r="CD39" s="26"/>
      <c r="CE39" s="26"/>
      <c r="CF39" s="26"/>
      <c r="CG39" s="26"/>
      <c r="CH39" s="26"/>
      <c r="CI39" s="26"/>
      <c r="CJ39" s="26"/>
      <c r="CK39" s="26"/>
      <c r="CL39" s="26"/>
      <c r="CM39" s="26"/>
      <c r="CN39" s="26"/>
      <c r="CO39" s="27"/>
      <c r="CP39" s="26"/>
      <c r="CQ39" s="26"/>
      <c r="CR39" s="26"/>
      <c r="CS39" s="26"/>
      <c r="CT39" s="26"/>
      <c r="CU39" s="26"/>
      <c r="CV39" s="26"/>
      <c r="CW39" s="26"/>
      <c r="CX39" s="26"/>
      <c r="CY39" s="26"/>
      <c r="CZ39" s="26"/>
    </row>
    <row r="40" spans="1:104" ht="12.75" customHeight="1" x14ac:dyDescent="0.2">
      <c r="A40" s="26"/>
      <c r="B40" s="26" t="s">
        <v>42</v>
      </c>
      <c r="C40" s="26"/>
      <c r="D40" s="27" t="s">
        <v>28</v>
      </c>
      <c r="E40" s="26"/>
      <c r="F40" s="26"/>
      <c r="G40" s="26"/>
      <c r="H40" s="26"/>
      <c r="I40" s="26"/>
      <c r="J40" s="26"/>
      <c r="K40" s="26"/>
      <c r="L40" s="26"/>
      <c r="M40" s="26"/>
      <c r="N40" s="26"/>
      <c r="O40" s="26"/>
      <c r="P40" s="26"/>
      <c r="Q40" s="26"/>
      <c r="R40" s="26"/>
      <c r="S40" s="26"/>
      <c r="T40" s="26"/>
      <c r="U40" s="26"/>
      <c r="V40" s="26"/>
      <c r="W40" s="26"/>
      <c r="X40" s="26"/>
      <c r="Y40" s="26"/>
      <c r="Z40" s="38"/>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38"/>
      <c r="AZ40" s="26" t="s">
        <v>42</v>
      </c>
      <c r="BA40" s="26"/>
      <c r="BB40" s="27" t="s">
        <v>28</v>
      </c>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38"/>
      <c r="CA40" s="26" t="s">
        <v>42</v>
      </c>
      <c r="CB40" s="26"/>
      <c r="CC40" s="27" t="s">
        <v>28</v>
      </c>
      <c r="CD40" s="26"/>
      <c r="CE40" s="26"/>
      <c r="CF40" s="26"/>
      <c r="CG40" s="26"/>
      <c r="CH40" s="26"/>
      <c r="CI40" s="26"/>
      <c r="CJ40" s="26"/>
      <c r="CK40" s="26"/>
      <c r="CL40" s="26"/>
      <c r="CM40" s="26"/>
      <c r="CN40" s="26"/>
      <c r="CO40" s="26"/>
      <c r="CP40" s="26"/>
      <c r="CQ40" s="26"/>
      <c r="CR40" s="26"/>
      <c r="CS40" s="26"/>
      <c r="CT40" s="26"/>
      <c r="CU40" s="26"/>
      <c r="CV40" s="26"/>
      <c r="CW40" s="26"/>
      <c r="CX40" s="26"/>
      <c r="CY40" s="26"/>
      <c r="CZ40" s="26"/>
    </row>
    <row r="41" spans="1:104" ht="12.75" customHeight="1" thickBot="1" x14ac:dyDescent="0.25">
      <c r="A41" s="26"/>
      <c r="B41" s="26"/>
      <c r="C41" s="26"/>
      <c r="D41" s="26"/>
      <c r="E41" s="22">
        <v>1</v>
      </c>
      <c r="F41" s="22">
        <v>2</v>
      </c>
      <c r="G41" s="22">
        <v>3</v>
      </c>
      <c r="H41" s="22">
        <v>4</v>
      </c>
      <c r="I41" s="22">
        <v>5</v>
      </c>
      <c r="J41" s="22">
        <v>6</v>
      </c>
      <c r="K41" s="22">
        <v>7</v>
      </c>
      <c r="L41" s="22">
        <v>8</v>
      </c>
      <c r="M41" s="22">
        <v>9</v>
      </c>
      <c r="N41" s="26"/>
      <c r="O41" s="26"/>
      <c r="P41" s="26"/>
      <c r="Q41" s="26"/>
      <c r="R41" s="26"/>
      <c r="S41" s="26"/>
      <c r="T41" s="26"/>
      <c r="U41" s="26"/>
      <c r="V41" s="26"/>
      <c r="W41" s="26"/>
      <c r="X41" s="26"/>
      <c r="Y41" s="26"/>
      <c r="Z41" s="38"/>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38"/>
      <c r="AZ41" s="26"/>
      <c r="BA41" s="26"/>
      <c r="BB41" s="26"/>
      <c r="BC41" s="22">
        <v>1</v>
      </c>
      <c r="BD41" s="22">
        <v>2</v>
      </c>
      <c r="BE41" s="22">
        <v>3</v>
      </c>
      <c r="BF41" s="22">
        <v>4</v>
      </c>
      <c r="BG41" s="22">
        <v>5</v>
      </c>
      <c r="BH41" s="22">
        <v>6</v>
      </c>
      <c r="BI41" s="22">
        <v>7</v>
      </c>
      <c r="BJ41" s="22">
        <v>8</v>
      </c>
      <c r="BK41" s="22">
        <v>9</v>
      </c>
      <c r="BL41" s="26"/>
      <c r="BM41" s="26"/>
      <c r="BN41" s="26"/>
      <c r="BO41" s="26"/>
      <c r="BP41" s="26"/>
      <c r="BQ41" s="26"/>
      <c r="BR41" s="26"/>
      <c r="BS41" s="26"/>
      <c r="BT41" s="26"/>
      <c r="BU41" s="26"/>
      <c r="BV41" s="26"/>
      <c r="BW41" s="26"/>
      <c r="BX41" s="26"/>
      <c r="BY41" s="26"/>
      <c r="BZ41" s="38"/>
      <c r="CA41" s="26"/>
      <c r="CB41" s="26"/>
      <c r="CC41" s="26"/>
      <c r="CD41" s="22">
        <v>1</v>
      </c>
      <c r="CE41" s="22">
        <v>2</v>
      </c>
      <c r="CF41" s="22">
        <v>3</v>
      </c>
      <c r="CG41" s="22">
        <v>4</v>
      </c>
      <c r="CH41" s="22">
        <v>5</v>
      </c>
      <c r="CI41" s="22">
        <v>6</v>
      </c>
      <c r="CJ41" s="22">
        <v>7</v>
      </c>
      <c r="CK41" s="22">
        <v>8</v>
      </c>
      <c r="CL41" s="22">
        <v>9</v>
      </c>
      <c r="CM41" s="26"/>
      <c r="CN41" s="26"/>
      <c r="CO41" s="26"/>
      <c r="CP41" s="26"/>
      <c r="CQ41" s="26"/>
      <c r="CR41" s="26"/>
      <c r="CS41" s="26"/>
      <c r="CT41" s="26"/>
      <c r="CU41" s="26"/>
      <c r="CV41" s="26"/>
      <c r="CW41" s="26"/>
      <c r="CX41" s="26"/>
      <c r="CY41" s="26"/>
      <c r="CZ41" s="26"/>
    </row>
    <row r="42" spans="1:104" ht="12.75" customHeight="1" thickTop="1" thickBot="1" x14ac:dyDescent="0.25">
      <c r="A42" s="26"/>
      <c r="B42" s="26"/>
      <c r="C42" s="26"/>
      <c r="D42" s="24">
        <v>1</v>
      </c>
      <c r="E42" s="13">
        <v>456</v>
      </c>
      <c r="F42" s="14">
        <v>156</v>
      </c>
      <c r="G42" s="17">
        <v>146</v>
      </c>
      <c r="H42" s="13">
        <v>369</v>
      </c>
      <c r="I42" s="14">
        <v>379</v>
      </c>
      <c r="J42" s="17">
        <v>67</v>
      </c>
      <c r="K42" s="13">
        <v>-2</v>
      </c>
      <c r="L42" s="14">
        <v>-8</v>
      </c>
      <c r="M42" s="17">
        <v>17</v>
      </c>
      <c r="N42" s="26"/>
      <c r="O42" s="27" t="s">
        <v>40</v>
      </c>
      <c r="P42" s="26"/>
      <c r="Q42" s="26"/>
      <c r="R42" s="26"/>
      <c r="S42" s="26"/>
      <c r="T42" s="26"/>
      <c r="U42" s="26"/>
      <c r="V42" s="26"/>
      <c r="W42" s="26"/>
      <c r="X42" s="26"/>
      <c r="Y42" s="26"/>
      <c r="Z42" s="38"/>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38"/>
      <c r="AZ42" s="26"/>
      <c r="BA42" s="26"/>
      <c r="BB42" s="24">
        <v>1</v>
      </c>
      <c r="BC42" s="13" t="s">
        <v>34</v>
      </c>
      <c r="BD42" s="14" t="s">
        <v>34</v>
      </c>
      <c r="BE42" s="17" t="s">
        <v>34</v>
      </c>
      <c r="BF42" s="13">
        <v>467</v>
      </c>
      <c r="BG42" s="14" t="s">
        <v>34</v>
      </c>
      <c r="BH42" s="17" t="s">
        <v>34</v>
      </c>
      <c r="BI42" s="13">
        <v>-5</v>
      </c>
      <c r="BJ42" s="14" t="s">
        <v>34</v>
      </c>
      <c r="BK42" s="17">
        <v>479</v>
      </c>
      <c r="BL42" s="26"/>
      <c r="BM42" s="27" t="s">
        <v>54</v>
      </c>
      <c r="BN42" s="26"/>
      <c r="BO42" s="26"/>
      <c r="BP42" s="26"/>
      <c r="BQ42" s="26"/>
      <c r="BR42" s="26"/>
      <c r="BS42" s="26"/>
      <c r="BT42" s="26"/>
      <c r="BU42" s="26"/>
      <c r="BV42" s="26"/>
      <c r="BW42" s="26"/>
      <c r="BX42" s="26"/>
      <c r="BY42" s="26"/>
      <c r="BZ42" s="38"/>
      <c r="CA42" s="26"/>
      <c r="CB42" s="26"/>
      <c r="CC42" s="24">
        <v>1</v>
      </c>
      <c r="CD42" s="13">
        <v>-9</v>
      </c>
      <c r="CE42" s="14">
        <v>-8</v>
      </c>
      <c r="CF42" s="17">
        <v>-4</v>
      </c>
      <c r="CG42" s="13">
        <v>-5</v>
      </c>
      <c r="CH42" s="14">
        <v>-6</v>
      </c>
      <c r="CI42" s="17">
        <v>-7</v>
      </c>
      <c r="CJ42" s="13">
        <v>-1</v>
      </c>
      <c r="CK42" s="14">
        <v>-2</v>
      </c>
      <c r="CL42" s="17">
        <v>-3</v>
      </c>
      <c r="CM42" s="26"/>
      <c r="CN42" s="27" t="s">
        <v>84</v>
      </c>
      <c r="CO42" s="26"/>
      <c r="CP42" s="110">
        <v>6</v>
      </c>
      <c r="CQ42" s="110">
        <v>6</v>
      </c>
      <c r="CR42" s="27" t="s">
        <v>85</v>
      </c>
      <c r="CS42" s="26"/>
      <c r="CT42" s="26"/>
      <c r="CU42" s="26"/>
      <c r="CV42" s="26"/>
      <c r="CW42" s="26"/>
      <c r="CX42" s="26"/>
      <c r="CY42" s="26"/>
      <c r="CZ42" s="26"/>
    </row>
    <row r="43" spans="1:104" ht="12.75" customHeight="1" thickTop="1" x14ac:dyDescent="0.2">
      <c r="A43" s="26"/>
      <c r="B43" s="26"/>
      <c r="C43" s="26"/>
      <c r="D43" s="24">
        <v>2</v>
      </c>
      <c r="E43" s="15">
        <v>-7</v>
      </c>
      <c r="F43" s="16">
        <v>28</v>
      </c>
      <c r="G43" s="18">
        <v>2</v>
      </c>
      <c r="H43" s="15">
        <v>-4</v>
      </c>
      <c r="I43" s="16">
        <v>-5</v>
      </c>
      <c r="J43" s="18">
        <v>-1</v>
      </c>
      <c r="K43" s="15">
        <v>-6</v>
      </c>
      <c r="L43" s="16">
        <v>-9</v>
      </c>
      <c r="M43" s="18">
        <v>-3</v>
      </c>
      <c r="N43" s="26"/>
      <c r="O43" s="27" t="s">
        <v>44</v>
      </c>
      <c r="P43" s="26"/>
      <c r="Q43" s="26"/>
      <c r="R43" s="26"/>
      <c r="S43" s="26"/>
      <c r="T43" s="26"/>
      <c r="U43" s="26"/>
      <c r="V43" s="26"/>
      <c r="W43" s="26"/>
      <c r="X43" s="26"/>
      <c r="Y43" s="26"/>
      <c r="Z43" s="38"/>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38"/>
      <c r="AZ43" s="26"/>
      <c r="BA43" s="26"/>
      <c r="BB43" s="24">
        <v>2</v>
      </c>
      <c r="BC43" s="15">
        <v>28</v>
      </c>
      <c r="BD43" s="16" t="s">
        <v>34</v>
      </c>
      <c r="BE43" s="18">
        <v>-7</v>
      </c>
      <c r="BF43" s="15">
        <v>456</v>
      </c>
      <c r="BG43" s="16">
        <v>-9</v>
      </c>
      <c r="BH43" s="18">
        <v>-3</v>
      </c>
      <c r="BI43" s="15">
        <v>48</v>
      </c>
      <c r="BJ43" s="16">
        <v>48</v>
      </c>
      <c r="BK43" s="18">
        <v>-1</v>
      </c>
      <c r="BL43" s="26"/>
      <c r="BM43" s="27" t="s">
        <v>55</v>
      </c>
      <c r="BN43" s="26"/>
      <c r="BO43" s="26"/>
      <c r="BP43" s="26"/>
      <c r="BQ43" s="26"/>
      <c r="BR43" s="26"/>
      <c r="BS43" s="26"/>
      <c r="BT43" s="26"/>
      <c r="BU43" s="26"/>
      <c r="BV43" s="26"/>
      <c r="BW43" s="26"/>
      <c r="BX43" s="26"/>
      <c r="BY43" s="26"/>
      <c r="BZ43" s="38"/>
      <c r="CA43" s="26"/>
      <c r="CB43" s="26"/>
      <c r="CC43" s="24">
        <v>2</v>
      </c>
      <c r="CD43" s="15">
        <v>-7</v>
      </c>
      <c r="CE43" s="16">
        <v>-3</v>
      </c>
      <c r="CF43" s="18">
        <v>-1</v>
      </c>
      <c r="CG43" s="15">
        <v>-2</v>
      </c>
      <c r="CH43" s="16">
        <v>-8</v>
      </c>
      <c r="CI43" s="18">
        <v>-9</v>
      </c>
      <c r="CJ43" s="15">
        <v>-5</v>
      </c>
      <c r="CK43" s="16">
        <v>-6</v>
      </c>
      <c r="CL43" s="18">
        <v>-4</v>
      </c>
      <c r="CM43" s="26"/>
      <c r="CN43" s="27" t="s">
        <v>86</v>
      </c>
      <c r="CO43" s="26"/>
      <c r="CP43" s="26"/>
      <c r="CQ43" s="26"/>
      <c r="CR43" s="26"/>
      <c r="CS43" s="26"/>
      <c r="CT43" s="26"/>
      <c r="CU43" s="26"/>
      <c r="CV43" s="26"/>
      <c r="CW43" s="26"/>
      <c r="CX43" s="26"/>
      <c r="CY43" s="26"/>
      <c r="CZ43" s="26"/>
    </row>
    <row r="44" spans="1:104" ht="12.75" customHeight="1" thickBot="1" x14ac:dyDescent="0.25">
      <c r="A44" s="26"/>
      <c r="B44" s="26"/>
      <c r="C44" s="26"/>
      <c r="D44" s="24">
        <v>3</v>
      </c>
      <c r="E44" s="19">
        <v>256</v>
      </c>
      <c r="F44" s="20">
        <v>-9</v>
      </c>
      <c r="G44" s="21">
        <v>-3</v>
      </c>
      <c r="H44" s="19">
        <v>26</v>
      </c>
      <c r="I44" s="20">
        <v>278</v>
      </c>
      <c r="J44" s="21">
        <v>678</v>
      </c>
      <c r="K44" s="19">
        <v>5</v>
      </c>
      <c r="L44" s="20">
        <v>157</v>
      </c>
      <c r="M44" s="21">
        <v>-4</v>
      </c>
      <c r="N44" s="26"/>
      <c r="O44" s="26"/>
      <c r="P44" s="26"/>
      <c r="Q44" s="26"/>
      <c r="R44" s="26"/>
      <c r="S44" s="26"/>
      <c r="T44" s="26"/>
      <c r="U44" s="26"/>
      <c r="V44" s="26"/>
      <c r="W44" s="26"/>
      <c r="X44" s="26"/>
      <c r="Y44" s="26"/>
      <c r="Z44" s="38"/>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38"/>
      <c r="AZ44" s="26"/>
      <c r="BA44" s="26"/>
      <c r="BB44" s="24">
        <v>3</v>
      </c>
      <c r="BC44" s="19">
        <v>389</v>
      </c>
      <c r="BD44" s="20" t="s">
        <v>34</v>
      </c>
      <c r="BE44" s="21">
        <v>-4</v>
      </c>
      <c r="BF44" s="19">
        <v>57</v>
      </c>
      <c r="BG44" s="20">
        <v>158</v>
      </c>
      <c r="BH44" s="21">
        <v>178</v>
      </c>
      <c r="BI44" s="19" t="s">
        <v>34</v>
      </c>
      <c r="BJ44" s="20">
        <v>-6</v>
      </c>
      <c r="BK44" s="21">
        <v>-2</v>
      </c>
      <c r="BL44" s="26"/>
      <c r="BM44" s="27" t="s">
        <v>56</v>
      </c>
      <c r="BN44" s="26"/>
      <c r="BO44" s="26"/>
      <c r="BP44" s="26"/>
      <c r="BQ44" s="26"/>
      <c r="BR44" s="26"/>
      <c r="BS44" s="16">
        <v>57</v>
      </c>
      <c r="BT44" s="26"/>
      <c r="BU44" s="26"/>
      <c r="BV44" s="26"/>
      <c r="BW44" s="26"/>
      <c r="BX44" s="26"/>
      <c r="BY44" s="26"/>
      <c r="BZ44" s="38"/>
      <c r="CA44" s="26"/>
      <c r="CB44" s="26"/>
      <c r="CC44" s="24">
        <v>3</v>
      </c>
      <c r="CD44" s="19">
        <v>25</v>
      </c>
      <c r="CE44" s="20">
        <v>-6</v>
      </c>
      <c r="CF44" s="21">
        <v>2</v>
      </c>
      <c r="CG44" s="19">
        <v>-1</v>
      </c>
      <c r="CH44" s="20">
        <v>-3</v>
      </c>
      <c r="CI44" s="21">
        <v>-4</v>
      </c>
      <c r="CJ44" s="19">
        <v>-8</v>
      </c>
      <c r="CK44" s="20">
        <v>-9</v>
      </c>
      <c r="CL44" s="21">
        <v>-7</v>
      </c>
      <c r="CM44" s="26"/>
      <c r="CN44" s="27" t="s">
        <v>87</v>
      </c>
      <c r="CO44" s="26"/>
      <c r="CP44" s="26"/>
      <c r="CQ44" s="26"/>
      <c r="CR44" s="26"/>
      <c r="CS44" s="26"/>
      <c r="CT44" s="26"/>
      <c r="CU44" s="26"/>
      <c r="CV44" s="26"/>
      <c r="CW44" s="26"/>
      <c r="CX44" s="26"/>
      <c r="CY44" s="26"/>
      <c r="CZ44" s="26"/>
    </row>
    <row r="45" spans="1:104" ht="12.75" customHeight="1" x14ac:dyDescent="0.2">
      <c r="A45" s="26"/>
      <c r="B45" s="26"/>
      <c r="C45" s="26"/>
      <c r="D45" s="24">
        <v>4</v>
      </c>
      <c r="E45" s="13">
        <v>24</v>
      </c>
      <c r="F45" s="14">
        <v>127</v>
      </c>
      <c r="G45" s="17">
        <v>-5</v>
      </c>
      <c r="H45" s="13">
        <v>-8</v>
      </c>
      <c r="I45" s="14">
        <v>149</v>
      </c>
      <c r="J45" s="17">
        <v>-3</v>
      </c>
      <c r="K45" s="13">
        <v>49</v>
      </c>
      <c r="L45" s="14">
        <v>247</v>
      </c>
      <c r="M45" s="17">
        <v>-6</v>
      </c>
      <c r="N45" s="26"/>
      <c r="O45" s="26"/>
      <c r="P45" s="26"/>
      <c r="Q45" s="26"/>
      <c r="R45" s="26"/>
      <c r="S45" s="26"/>
      <c r="T45" s="26"/>
      <c r="U45" s="26"/>
      <c r="V45" s="26"/>
      <c r="W45" s="26"/>
      <c r="X45" s="26"/>
      <c r="Y45" s="26"/>
      <c r="Z45" s="38"/>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38"/>
      <c r="AZ45" s="26"/>
      <c r="BA45" s="26"/>
      <c r="BB45" s="24">
        <v>4</v>
      </c>
      <c r="BC45" s="13">
        <v>379</v>
      </c>
      <c r="BD45" s="14">
        <v>357</v>
      </c>
      <c r="BE45" s="17">
        <v>359</v>
      </c>
      <c r="BF45" s="13">
        <v>-2</v>
      </c>
      <c r="BG45" s="14">
        <v>36</v>
      </c>
      <c r="BH45" s="17">
        <v>-4</v>
      </c>
      <c r="BI45" s="13">
        <v>679</v>
      </c>
      <c r="BJ45" s="14">
        <v>-1</v>
      </c>
      <c r="BK45" s="17">
        <v>-8</v>
      </c>
      <c r="BL45" s="26"/>
      <c r="BM45" s="27" t="s">
        <v>63</v>
      </c>
      <c r="BN45" s="26"/>
      <c r="BO45" s="26"/>
      <c r="BP45" s="26"/>
      <c r="BQ45" s="26"/>
      <c r="BR45" s="26"/>
      <c r="BS45" s="26"/>
      <c r="BT45" s="26"/>
      <c r="BU45" s="26"/>
      <c r="BV45" s="26"/>
      <c r="BW45" s="26"/>
      <c r="BX45" s="26"/>
      <c r="BY45" s="26"/>
      <c r="BZ45" s="38"/>
      <c r="CA45" s="26"/>
      <c r="CB45" s="26"/>
      <c r="CC45" s="24">
        <v>4</v>
      </c>
      <c r="CD45" s="13">
        <v>-4</v>
      </c>
      <c r="CE45" s="14">
        <v>-5</v>
      </c>
      <c r="CF45" s="17">
        <v>-6</v>
      </c>
      <c r="CG45" s="13">
        <v>-9</v>
      </c>
      <c r="CH45" s="14">
        <v>-7</v>
      </c>
      <c r="CI45" s="17">
        <v>-2</v>
      </c>
      <c r="CJ45" s="13">
        <v>-3</v>
      </c>
      <c r="CK45" s="14">
        <v>-1</v>
      </c>
      <c r="CL45" s="17">
        <v>-8</v>
      </c>
      <c r="CM45" s="26"/>
      <c r="CN45" s="27"/>
      <c r="CO45" s="26"/>
      <c r="CP45" s="26"/>
      <c r="CQ45" s="26"/>
      <c r="CR45" s="26"/>
      <c r="CS45" s="26"/>
      <c r="CT45" s="26"/>
      <c r="CU45" s="26"/>
      <c r="CV45" s="26"/>
      <c r="CW45" s="26"/>
      <c r="CX45" s="26"/>
      <c r="CY45" s="26"/>
      <c r="CZ45" s="26"/>
    </row>
    <row r="46" spans="1:104" ht="12.75" customHeight="1" x14ac:dyDescent="0.2">
      <c r="A46" s="26"/>
      <c r="B46" s="26"/>
      <c r="C46" s="26"/>
      <c r="D46" s="24">
        <v>5</v>
      </c>
      <c r="E46" s="15" t="s">
        <v>34</v>
      </c>
      <c r="F46" s="16">
        <v>267</v>
      </c>
      <c r="G46" s="18">
        <v>-8</v>
      </c>
      <c r="H46" s="15">
        <v>569</v>
      </c>
      <c r="I46" s="16">
        <v>49</v>
      </c>
      <c r="J46" s="18">
        <v>456</v>
      </c>
      <c r="K46" s="15">
        <v>-1</v>
      </c>
      <c r="L46" s="16" t="s">
        <v>34</v>
      </c>
      <c r="M46" s="18">
        <v>279</v>
      </c>
      <c r="N46" s="26"/>
      <c r="O46" s="26"/>
      <c r="P46" s="26"/>
      <c r="Q46" s="26"/>
      <c r="R46" s="26"/>
      <c r="S46" s="26"/>
      <c r="T46" s="26"/>
      <c r="U46" s="26"/>
      <c r="V46" s="26"/>
      <c r="W46" s="26"/>
      <c r="X46" s="26"/>
      <c r="Y46" s="26"/>
      <c r="Z46" s="38"/>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38"/>
      <c r="AZ46" s="26"/>
      <c r="BA46" s="26"/>
      <c r="BB46" s="24">
        <v>5</v>
      </c>
      <c r="BC46" s="15">
        <v>-1</v>
      </c>
      <c r="BD46" s="16" t="s">
        <v>34</v>
      </c>
      <c r="BE46" s="18">
        <v>289</v>
      </c>
      <c r="BF46" s="15">
        <v>679</v>
      </c>
      <c r="BG46" s="16">
        <v>68</v>
      </c>
      <c r="BH46" s="18" t="s">
        <v>34</v>
      </c>
      <c r="BI46" s="15" t="s">
        <v>34</v>
      </c>
      <c r="BJ46" s="16">
        <v>-5</v>
      </c>
      <c r="BK46" s="18">
        <v>-3</v>
      </c>
      <c r="BL46" s="26"/>
      <c r="BM46" s="27"/>
      <c r="BN46" s="26"/>
      <c r="BO46" s="26"/>
      <c r="BP46" s="26"/>
      <c r="BQ46" s="26"/>
      <c r="BR46" s="26"/>
      <c r="BS46" s="26"/>
      <c r="BT46" s="26"/>
      <c r="BU46" s="26"/>
      <c r="BV46" s="26"/>
      <c r="BW46" s="26"/>
      <c r="BX46" s="26"/>
      <c r="BY46" s="26"/>
      <c r="BZ46" s="38"/>
      <c r="CA46" s="26"/>
      <c r="CB46" s="26"/>
      <c r="CC46" s="24">
        <v>5</v>
      </c>
      <c r="CD46" s="15">
        <v>-3</v>
      </c>
      <c r="CE46" s="16">
        <v>-9</v>
      </c>
      <c r="CF46" s="18">
        <v>-8</v>
      </c>
      <c r="CG46" s="15">
        <v>-6</v>
      </c>
      <c r="CH46" s="16">
        <v>15</v>
      </c>
      <c r="CI46" s="18">
        <v>15</v>
      </c>
      <c r="CJ46" s="15">
        <v>-4</v>
      </c>
      <c r="CK46" s="16">
        <v>-7</v>
      </c>
      <c r="CL46" s="18">
        <v>-2</v>
      </c>
      <c r="CM46" s="26"/>
      <c r="CN46" s="27"/>
      <c r="CO46" s="75" t="s">
        <v>30</v>
      </c>
      <c r="CP46" s="76"/>
      <c r="CQ46" s="76"/>
      <c r="CR46" s="76"/>
      <c r="CS46" s="76"/>
      <c r="CT46" s="76"/>
      <c r="CU46" s="76"/>
      <c r="CV46" s="76"/>
      <c r="CW46" s="76"/>
      <c r="CX46" s="76"/>
      <c r="CY46" s="77"/>
      <c r="CZ46" s="26"/>
    </row>
    <row r="47" spans="1:104" ht="12.75" customHeight="1" thickBot="1" x14ac:dyDescent="0.25">
      <c r="A47" s="26"/>
      <c r="B47" s="26"/>
      <c r="C47" s="26"/>
      <c r="D47" s="24">
        <v>6</v>
      </c>
      <c r="E47" s="19">
        <v>-9</v>
      </c>
      <c r="F47" s="20">
        <v>16</v>
      </c>
      <c r="G47" s="21">
        <v>146</v>
      </c>
      <c r="H47" s="19">
        <v>-7</v>
      </c>
      <c r="I47" s="20">
        <v>14</v>
      </c>
      <c r="J47" s="21">
        <v>-2</v>
      </c>
      <c r="K47" s="19">
        <v>-3</v>
      </c>
      <c r="L47" s="20">
        <v>45</v>
      </c>
      <c r="M47" s="21">
        <v>8</v>
      </c>
      <c r="N47" s="26"/>
      <c r="O47" s="26"/>
      <c r="P47" s="26"/>
      <c r="Q47" s="26"/>
      <c r="R47" s="26"/>
      <c r="S47" s="26"/>
      <c r="T47" s="26"/>
      <c r="U47" s="26"/>
      <c r="V47" s="26"/>
      <c r="W47" s="26"/>
      <c r="X47" s="26"/>
      <c r="Y47" s="26"/>
      <c r="Z47" s="38"/>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38"/>
      <c r="AZ47" s="26"/>
      <c r="BA47" s="26"/>
      <c r="BB47" s="24">
        <v>6</v>
      </c>
      <c r="BC47" s="19">
        <v>-6</v>
      </c>
      <c r="BD47" s="20" t="s">
        <v>34</v>
      </c>
      <c r="BE47" s="21">
        <v>389</v>
      </c>
      <c r="BF47" s="19">
        <v>-1</v>
      </c>
      <c r="BG47" s="20">
        <v>38</v>
      </c>
      <c r="BH47" s="21">
        <v>-5</v>
      </c>
      <c r="BI47" s="19">
        <v>479</v>
      </c>
      <c r="BJ47" s="20">
        <v>-2</v>
      </c>
      <c r="BK47" s="21">
        <v>479</v>
      </c>
      <c r="BL47" s="26"/>
      <c r="BM47" s="27"/>
      <c r="BN47" s="26"/>
      <c r="BO47" s="26"/>
      <c r="BP47" s="26"/>
      <c r="BQ47" s="26"/>
      <c r="BR47" s="26"/>
      <c r="BS47" s="26"/>
      <c r="BT47" s="26"/>
      <c r="BU47" s="26"/>
      <c r="BV47" s="26"/>
      <c r="BW47" s="26"/>
      <c r="BX47" s="26"/>
      <c r="BY47" s="26"/>
      <c r="BZ47" s="38"/>
      <c r="CA47" s="26"/>
      <c r="CB47" s="26"/>
      <c r="CC47" s="24">
        <v>6</v>
      </c>
      <c r="CD47" s="15">
        <v>-1</v>
      </c>
      <c r="CE47" s="20">
        <v>-2</v>
      </c>
      <c r="CF47" s="21">
        <v>-7</v>
      </c>
      <c r="CG47" s="19">
        <v>-3</v>
      </c>
      <c r="CH47" s="20">
        <v>-4</v>
      </c>
      <c r="CI47" s="21">
        <v>-8</v>
      </c>
      <c r="CJ47" s="19">
        <v>-9</v>
      </c>
      <c r="CK47" s="20">
        <v>-5</v>
      </c>
      <c r="CL47" s="21">
        <v>-6</v>
      </c>
      <c r="CM47" s="26"/>
      <c r="CN47" s="27"/>
      <c r="CO47" s="78"/>
      <c r="CP47" s="79"/>
      <c r="CQ47" s="79"/>
      <c r="CR47" s="79"/>
      <c r="CS47" s="79"/>
      <c r="CT47" s="79"/>
      <c r="CU47" s="79"/>
      <c r="CV47" s="79"/>
      <c r="CW47" s="79"/>
      <c r="CX47" s="79"/>
      <c r="CY47" s="80"/>
      <c r="CZ47" s="26"/>
    </row>
    <row r="48" spans="1:104" ht="12.75" customHeight="1" thickTop="1" thickBot="1" x14ac:dyDescent="0.25">
      <c r="A48" s="26"/>
      <c r="B48" s="26"/>
      <c r="C48" s="26"/>
      <c r="D48" s="24">
        <v>7</v>
      </c>
      <c r="E48" s="13">
        <v>-1</v>
      </c>
      <c r="F48" s="14">
        <v>256</v>
      </c>
      <c r="G48" s="17">
        <v>26</v>
      </c>
      <c r="H48" s="13">
        <v>25</v>
      </c>
      <c r="I48" s="14">
        <v>248</v>
      </c>
      <c r="J48" s="17">
        <v>458</v>
      </c>
      <c r="K48" s="13">
        <v>-7</v>
      </c>
      <c r="L48" s="14">
        <v>-3</v>
      </c>
      <c r="M48" s="17">
        <v>289</v>
      </c>
      <c r="N48" s="26"/>
      <c r="O48" s="26"/>
      <c r="P48" s="26"/>
      <c r="Q48" s="26"/>
      <c r="R48" s="26"/>
      <c r="S48" s="26"/>
      <c r="T48" s="26"/>
      <c r="U48" s="26"/>
      <c r="V48" s="26"/>
      <c r="W48" s="26"/>
      <c r="X48" s="26"/>
      <c r="Y48" s="26"/>
      <c r="Z48" s="38"/>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38"/>
      <c r="AZ48" s="26"/>
      <c r="BA48" s="26"/>
      <c r="BB48" s="24">
        <v>7</v>
      </c>
      <c r="BC48" s="13">
        <v>-5</v>
      </c>
      <c r="BD48" s="14">
        <v>-9</v>
      </c>
      <c r="BE48" s="17" t="s">
        <v>34</v>
      </c>
      <c r="BF48" s="13">
        <v>346</v>
      </c>
      <c r="BG48" s="14" t="s">
        <v>34</v>
      </c>
      <c r="BH48" s="17">
        <v>16</v>
      </c>
      <c r="BI48" s="13">
        <v>-2</v>
      </c>
      <c r="BJ48" s="14" t="s">
        <v>34</v>
      </c>
      <c r="BK48" s="17">
        <v>467</v>
      </c>
      <c r="BL48" s="26"/>
      <c r="BM48" s="27"/>
      <c r="BN48" s="26"/>
      <c r="BO48" s="26"/>
      <c r="BP48" s="26"/>
      <c r="BQ48" s="26"/>
      <c r="BR48" s="26"/>
      <c r="BS48" s="26"/>
      <c r="BT48" s="26"/>
      <c r="BU48" s="26"/>
      <c r="BV48" s="26"/>
      <c r="BW48" s="26"/>
      <c r="BX48" s="26"/>
      <c r="BY48" s="26"/>
      <c r="BZ48" s="38"/>
      <c r="CA48" s="26"/>
      <c r="CB48" s="26"/>
      <c r="CC48" s="24">
        <v>7</v>
      </c>
      <c r="CD48" s="110">
        <v>6</v>
      </c>
      <c r="CE48" s="14">
        <v>-7</v>
      </c>
      <c r="CF48" s="17">
        <v>-9</v>
      </c>
      <c r="CG48" s="13">
        <v>-8</v>
      </c>
      <c r="CH48" s="14">
        <v>15</v>
      </c>
      <c r="CI48" s="17">
        <v>156</v>
      </c>
      <c r="CJ48" s="13">
        <v>-2</v>
      </c>
      <c r="CK48" s="14">
        <v>34</v>
      </c>
      <c r="CL48" s="17">
        <v>15</v>
      </c>
      <c r="CM48" s="26"/>
      <c r="CN48" s="27"/>
      <c r="CO48" s="78"/>
      <c r="CP48" s="29">
        <v>9</v>
      </c>
      <c r="CQ48" s="30"/>
      <c r="CR48" s="31"/>
      <c r="CS48" s="29">
        <v>5</v>
      </c>
      <c r="CT48" s="30">
        <v>6</v>
      </c>
      <c r="CU48" s="31">
        <v>7</v>
      </c>
      <c r="CV48" s="29"/>
      <c r="CW48" s="30"/>
      <c r="CX48" s="31"/>
      <c r="CY48" s="80"/>
      <c r="CZ48" s="26"/>
    </row>
    <row r="49" spans="1:104" ht="12.75" customHeight="1" thickTop="1" thickBot="1" x14ac:dyDescent="0.25">
      <c r="A49" s="26"/>
      <c r="B49" s="26"/>
      <c r="C49" s="26"/>
      <c r="D49" s="24">
        <v>8</v>
      </c>
      <c r="E49" s="15">
        <v>-8</v>
      </c>
      <c r="F49" s="16">
        <v>-3</v>
      </c>
      <c r="G49" s="18">
        <v>27</v>
      </c>
      <c r="H49" s="15">
        <v>-1</v>
      </c>
      <c r="I49" s="16">
        <v>-6</v>
      </c>
      <c r="J49" s="18">
        <v>-9</v>
      </c>
      <c r="K49" s="15">
        <v>4</v>
      </c>
      <c r="L49" s="16">
        <v>24</v>
      </c>
      <c r="M49" s="18">
        <v>-5</v>
      </c>
      <c r="N49" s="26"/>
      <c r="O49" s="26"/>
      <c r="P49" s="26"/>
      <c r="Q49" s="26"/>
      <c r="R49" s="26"/>
      <c r="S49" s="26"/>
      <c r="T49" s="26"/>
      <c r="U49" s="26"/>
      <c r="V49" s="26"/>
      <c r="W49" s="26"/>
      <c r="X49" s="26"/>
      <c r="Y49" s="26"/>
      <c r="Z49" s="38"/>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38"/>
      <c r="AZ49" s="26"/>
      <c r="BA49" s="26"/>
      <c r="BB49" s="24">
        <v>8</v>
      </c>
      <c r="BC49" s="15">
        <v>-4</v>
      </c>
      <c r="BD49" s="16">
        <v>236</v>
      </c>
      <c r="BE49" s="18">
        <v>236</v>
      </c>
      <c r="BF49" s="15">
        <v>-8</v>
      </c>
      <c r="BG49" s="16">
        <v>-7</v>
      </c>
      <c r="BH49" s="18">
        <v>269</v>
      </c>
      <c r="BI49" s="15">
        <v>-1</v>
      </c>
      <c r="BJ49" s="16">
        <v>39</v>
      </c>
      <c r="BK49" s="18">
        <v>569</v>
      </c>
      <c r="BL49" s="26"/>
      <c r="BM49" s="27"/>
      <c r="BN49" s="26"/>
      <c r="BO49" s="26"/>
      <c r="BP49" s="26"/>
      <c r="BQ49" s="26"/>
      <c r="BR49" s="26"/>
      <c r="BS49" s="26"/>
      <c r="BT49" s="26"/>
      <c r="BU49" s="26"/>
      <c r="BV49" s="26"/>
      <c r="BW49" s="26"/>
      <c r="BX49" s="26"/>
      <c r="BY49" s="26"/>
      <c r="BZ49" s="38"/>
      <c r="CA49" s="26"/>
      <c r="CB49" s="26"/>
      <c r="CC49" s="24">
        <v>8</v>
      </c>
      <c r="CD49" s="15">
        <v>-8</v>
      </c>
      <c r="CE49" s="16">
        <v>-4</v>
      </c>
      <c r="CF49" s="18">
        <v>23</v>
      </c>
      <c r="CG49" s="15">
        <v>-7</v>
      </c>
      <c r="CH49" s="16">
        <v>-9</v>
      </c>
      <c r="CI49" s="18">
        <v>15</v>
      </c>
      <c r="CJ49" s="15">
        <v>-6</v>
      </c>
      <c r="CK49" s="16">
        <v>3</v>
      </c>
      <c r="CL49" s="18">
        <v>15</v>
      </c>
      <c r="CM49" s="26"/>
      <c r="CN49" s="27"/>
      <c r="CO49" s="78"/>
      <c r="CP49" s="32">
        <v>7</v>
      </c>
      <c r="CQ49" s="33"/>
      <c r="CR49" s="34">
        <v>1</v>
      </c>
      <c r="CS49" s="32"/>
      <c r="CT49" s="33"/>
      <c r="CU49" s="34">
        <v>9</v>
      </c>
      <c r="CV49" s="32">
        <v>5</v>
      </c>
      <c r="CW49" s="33">
        <v>6</v>
      </c>
      <c r="CX49" s="34">
        <v>4</v>
      </c>
      <c r="CY49" s="80"/>
      <c r="CZ49" s="26"/>
    </row>
    <row r="50" spans="1:104" ht="12.75" customHeight="1" thickTop="1" thickBot="1" x14ac:dyDescent="0.25">
      <c r="A50" s="26"/>
      <c r="B50" s="26"/>
      <c r="C50" s="26"/>
      <c r="D50" s="24">
        <v>9</v>
      </c>
      <c r="E50" s="19">
        <v>256</v>
      </c>
      <c r="F50" s="20">
        <v>-4</v>
      </c>
      <c r="G50" s="21">
        <v>-9</v>
      </c>
      <c r="H50" s="19">
        <v>235</v>
      </c>
      <c r="I50" s="20" t="s">
        <v>34</v>
      </c>
      <c r="J50" s="21">
        <v>578</v>
      </c>
      <c r="K50" s="19">
        <v>8</v>
      </c>
      <c r="L50" s="20">
        <v>126</v>
      </c>
      <c r="M50" s="21">
        <v>128</v>
      </c>
      <c r="N50" s="26"/>
      <c r="O50" s="26"/>
      <c r="P50" s="26"/>
      <c r="Q50" s="26"/>
      <c r="R50" s="26"/>
      <c r="S50" s="26"/>
      <c r="T50" s="26"/>
      <c r="U50" s="26"/>
      <c r="V50" s="26"/>
      <c r="W50" s="26"/>
      <c r="X50" s="26"/>
      <c r="Y50" s="26"/>
      <c r="Z50" s="38"/>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38"/>
      <c r="AZ50" s="26"/>
      <c r="BA50" s="26"/>
      <c r="BB50" s="24">
        <v>9</v>
      </c>
      <c r="BC50" s="19" t="s">
        <v>34</v>
      </c>
      <c r="BD50" s="20" t="s">
        <v>34</v>
      </c>
      <c r="BE50" s="21" t="s">
        <v>34</v>
      </c>
      <c r="BF50" s="19" t="s">
        <v>34</v>
      </c>
      <c r="BG50" s="20" t="s">
        <v>34</v>
      </c>
      <c r="BH50" s="21" t="s">
        <v>34</v>
      </c>
      <c r="BI50" s="19" t="s">
        <v>34</v>
      </c>
      <c r="BJ50" s="20" t="s">
        <v>34</v>
      </c>
      <c r="BK50" s="21" t="s">
        <v>34</v>
      </c>
      <c r="BL50" s="26"/>
      <c r="BM50" s="27"/>
      <c r="BN50" s="26"/>
      <c r="BO50" s="26"/>
      <c r="BP50" s="26"/>
      <c r="BQ50" s="26"/>
      <c r="BR50" s="26"/>
      <c r="BS50" s="26"/>
      <c r="BT50" s="26"/>
      <c r="BU50" s="26"/>
      <c r="BV50" s="26"/>
      <c r="BW50" s="26"/>
      <c r="BX50" s="26"/>
      <c r="BY50" s="26"/>
      <c r="BZ50" s="38"/>
      <c r="CA50" s="26"/>
      <c r="CB50" s="26"/>
      <c r="CC50" s="24">
        <v>9</v>
      </c>
      <c r="CD50" s="110">
        <v>6</v>
      </c>
      <c r="CE50" s="20">
        <v>-1</v>
      </c>
      <c r="CF50" s="21">
        <v>-5</v>
      </c>
      <c r="CG50" s="19">
        <v>-4</v>
      </c>
      <c r="CH50" s="20">
        <v>-2</v>
      </c>
      <c r="CI50" s="21">
        <v>-3</v>
      </c>
      <c r="CJ50" s="19">
        <v>-7</v>
      </c>
      <c r="CK50" s="20">
        <v>-8</v>
      </c>
      <c r="CL50" s="21">
        <v>-9</v>
      </c>
      <c r="CM50" s="26"/>
      <c r="CN50" s="27"/>
      <c r="CO50" s="78"/>
      <c r="CP50" s="35"/>
      <c r="CQ50" s="36"/>
      <c r="CR50" s="37"/>
      <c r="CS50" s="35"/>
      <c r="CT50" s="36"/>
      <c r="CU50" s="37"/>
      <c r="CV50" s="35">
        <v>8</v>
      </c>
      <c r="CW50" s="36">
        <v>9</v>
      </c>
      <c r="CX50" s="37">
        <v>7</v>
      </c>
      <c r="CY50" s="80"/>
      <c r="CZ50" s="26"/>
    </row>
    <row r="51" spans="1:104" ht="12.75" customHeight="1" x14ac:dyDescent="0.2">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38"/>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38"/>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38"/>
      <c r="CA51" s="26"/>
      <c r="CB51" s="26"/>
      <c r="CC51" s="26"/>
      <c r="CD51" s="26"/>
      <c r="CE51" s="26"/>
      <c r="CF51" s="26"/>
      <c r="CG51" s="26"/>
      <c r="CH51" s="26"/>
      <c r="CI51" s="26"/>
      <c r="CJ51" s="26"/>
      <c r="CK51" s="26"/>
      <c r="CL51" s="26"/>
      <c r="CM51" s="26"/>
      <c r="CN51" s="26"/>
      <c r="CO51" s="78"/>
      <c r="CP51" s="29"/>
      <c r="CQ51" s="30">
        <v>5</v>
      </c>
      <c r="CR51" s="31"/>
      <c r="CS51" s="29">
        <v>9</v>
      </c>
      <c r="CT51" s="30"/>
      <c r="CU51" s="31">
        <v>2</v>
      </c>
      <c r="CV51" s="29">
        <v>3</v>
      </c>
      <c r="CW51" s="30">
        <v>1</v>
      </c>
      <c r="CX51" s="31">
        <v>8</v>
      </c>
      <c r="CY51" s="80"/>
      <c r="CZ51" s="26"/>
    </row>
    <row r="52" spans="1:104" ht="12.75" customHeight="1" thickBot="1" x14ac:dyDescent="0.25">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38"/>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38"/>
      <c r="AZ52" s="74" t="s">
        <v>57</v>
      </c>
      <c r="BA52" s="26"/>
      <c r="BB52" s="28" t="s">
        <v>27</v>
      </c>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38"/>
      <c r="CA52" s="74" t="s">
        <v>57</v>
      </c>
      <c r="CB52" s="26"/>
      <c r="CC52" s="28" t="s">
        <v>27</v>
      </c>
      <c r="CD52" s="26"/>
      <c r="CE52" s="26"/>
      <c r="CF52" s="26"/>
      <c r="CG52" s="26"/>
      <c r="CH52" s="26"/>
      <c r="CI52" s="26"/>
      <c r="CJ52" s="26"/>
      <c r="CK52" s="26"/>
      <c r="CL52" s="26"/>
      <c r="CM52" s="26"/>
      <c r="CN52" s="26"/>
      <c r="CO52" s="78"/>
      <c r="CP52" s="32">
        <v>3</v>
      </c>
      <c r="CQ52" s="33">
        <v>9</v>
      </c>
      <c r="CR52" s="34">
        <v>8</v>
      </c>
      <c r="CS52" s="32"/>
      <c r="CT52" s="33"/>
      <c r="CU52" s="34"/>
      <c r="CV52" s="32">
        <v>4</v>
      </c>
      <c r="CW52" s="33">
        <v>7</v>
      </c>
      <c r="CX52" s="34">
        <v>2</v>
      </c>
      <c r="CY52" s="80"/>
      <c r="CZ52" s="26"/>
    </row>
    <row r="53" spans="1:104" ht="12.75" customHeight="1" thickBot="1" x14ac:dyDescent="0.25">
      <c r="A53" s="105"/>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9"/>
      <c r="Z53" s="115"/>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7"/>
      <c r="AY53" s="38"/>
      <c r="AZ53" s="26"/>
      <c r="BA53" s="26"/>
      <c r="BB53" s="26"/>
      <c r="BC53" s="22">
        <v>1</v>
      </c>
      <c r="BD53" s="22">
        <v>2</v>
      </c>
      <c r="BE53" s="22">
        <v>3</v>
      </c>
      <c r="BF53" s="22">
        <v>4</v>
      </c>
      <c r="BG53" s="22">
        <v>5</v>
      </c>
      <c r="BH53" s="22">
        <v>6</v>
      </c>
      <c r="BI53" s="22">
        <v>7</v>
      </c>
      <c r="BJ53" s="22">
        <v>8</v>
      </c>
      <c r="BK53" s="22">
        <v>9</v>
      </c>
      <c r="BL53" s="26"/>
      <c r="BM53" s="27" t="s">
        <v>64</v>
      </c>
      <c r="BN53" s="26"/>
      <c r="BO53" s="26"/>
      <c r="BP53" s="26"/>
      <c r="BQ53" s="26"/>
      <c r="BR53" s="26"/>
      <c r="BS53" s="26"/>
      <c r="BT53" s="26"/>
      <c r="BU53" s="26"/>
      <c r="BV53" s="26"/>
      <c r="BW53" s="26"/>
      <c r="BX53" s="26"/>
      <c r="BY53" s="26"/>
      <c r="BZ53" s="38"/>
      <c r="CA53" s="26"/>
      <c r="CB53" s="26"/>
      <c r="CC53" s="26"/>
      <c r="CD53" s="22">
        <v>1</v>
      </c>
      <c r="CE53" s="22">
        <v>2</v>
      </c>
      <c r="CF53" s="22">
        <v>3</v>
      </c>
      <c r="CG53" s="22">
        <v>4</v>
      </c>
      <c r="CH53" s="22">
        <v>5</v>
      </c>
      <c r="CI53" s="22">
        <v>6</v>
      </c>
      <c r="CJ53" s="22">
        <v>7</v>
      </c>
      <c r="CK53" s="22">
        <v>8</v>
      </c>
      <c r="CL53" s="22">
        <v>9</v>
      </c>
      <c r="CM53" s="26"/>
      <c r="CN53" s="27"/>
      <c r="CO53" s="78"/>
      <c r="CP53" s="35">
        <v>1</v>
      </c>
      <c r="CQ53" s="36">
        <v>2</v>
      </c>
      <c r="CR53" s="37"/>
      <c r="CS53" s="35">
        <v>3</v>
      </c>
      <c r="CT53" s="36"/>
      <c r="CU53" s="37">
        <v>8</v>
      </c>
      <c r="CV53" s="35">
        <v>9</v>
      </c>
      <c r="CW53" s="36">
        <v>5</v>
      </c>
      <c r="CX53" s="37">
        <v>6</v>
      </c>
      <c r="CY53" s="80"/>
      <c r="CZ53" s="26"/>
    </row>
    <row r="54" spans="1:104" ht="12.75" customHeight="1" thickTop="1" thickBot="1" x14ac:dyDescent="0.25">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13"/>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38"/>
      <c r="AZ54" s="26"/>
      <c r="BA54" s="26"/>
      <c r="BB54" s="22">
        <v>1</v>
      </c>
      <c r="BC54" s="62"/>
      <c r="BD54" s="30"/>
      <c r="BE54" s="31"/>
      <c r="BF54" s="29"/>
      <c r="BG54" s="30"/>
      <c r="BH54" s="31"/>
      <c r="BI54" s="29">
        <v>5</v>
      </c>
      <c r="BJ54" s="30"/>
      <c r="BK54" s="31"/>
      <c r="BL54" s="26"/>
      <c r="BM54" s="27" t="s">
        <v>65</v>
      </c>
      <c r="BN54" s="26"/>
      <c r="BO54" s="26"/>
      <c r="BP54" s="26"/>
      <c r="BQ54" s="26"/>
      <c r="BR54" s="26"/>
      <c r="BS54" s="26"/>
      <c r="BT54" s="26"/>
      <c r="BU54" s="26"/>
      <c r="BV54" s="26"/>
      <c r="BW54" s="26"/>
      <c r="BX54" s="26"/>
      <c r="BY54" s="26"/>
      <c r="BZ54" s="38"/>
      <c r="CA54" s="26"/>
      <c r="CB54" s="26"/>
      <c r="CC54" s="22">
        <v>1</v>
      </c>
      <c r="CD54" s="29">
        <v>9</v>
      </c>
      <c r="CE54" s="30"/>
      <c r="CF54" s="31"/>
      <c r="CG54" s="29">
        <v>5</v>
      </c>
      <c r="CH54" s="30">
        <v>6</v>
      </c>
      <c r="CI54" s="111">
        <v>7</v>
      </c>
      <c r="CJ54" s="64">
        <v>2</v>
      </c>
      <c r="CK54" s="112"/>
      <c r="CL54" s="31"/>
      <c r="CM54" s="26"/>
      <c r="CN54" s="27"/>
      <c r="CO54" s="78"/>
      <c r="CP54" s="29"/>
      <c r="CQ54" s="30">
        <v>7</v>
      </c>
      <c r="CR54" s="31">
        <v>9</v>
      </c>
      <c r="CS54" s="29"/>
      <c r="CT54" s="30"/>
      <c r="CU54" s="31"/>
      <c r="CV54" s="29"/>
      <c r="CW54" s="30"/>
      <c r="CX54" s="31"/>
      <c r="CY54" s="80"/>
      <c r="CZ54" s="26"/>
    </row>
    <row r="55" spans="1:104" ht="12.75" customHeight="1" thickTop="1" thickBot="1" x14ac:dyDescent="0.25">
      <c r="A55" s="107"/>
      <c r="B55" s="107" t="s">
        <v>74</v>
      </c>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13"/>
      <c r="AA55" s="121" t="s">
        <v>115</v>
      </c>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38"/>
      <c r="AZ55" s="26"/>
      <c r="BA55" s="26"/>
      <c r="BB55" s="23">
        <v>2</v>
      </c>
      <c r="BC55" s="32"/>
      <c r="BD55" s="61"/>
      <c r="BE55" s="34">
        <v>7</v>
      </c>
      <c r="BF55" s="83"/>
      <c r="BG55" s="33">
        <v>9</v>
      </c>
      <c r="BH55" s="34">
        <v>3</v>
      </c>
      <c r="BI55" s="32"/>
      <c r="BJ55" s="33"/>
      <c r="BK55" s="34">
        <v>1</v>
      </c>
      <c r="BL55" s="26"/>
      <c r="BM55" s="26"/>
      <c r="BN55" s="26"/>
      <c r="BO55" s="26"/>
      <c r="BP55" s="26"/>
      <c r="BQ55" s="26"/>
      <c r="BR55" s="26"/>
      <c r="BS55" s="26"/>
      <c r="BT55" s="26"/>
      <c r="BU55" s="26"/>
      <c r="BV55" s="26"/>
      <c r="BW55" s="26"/>
      <c r="BX55" s="26"/>
      <c r="BY55" s="26"/>
      <c r="BZ55" s="38"/>
      <c r="CA55" s="26"/>
      <c r="CB55" s="26"/>
      <c r="CC55" s="23">
        <v>2</v>
      </c>
      <c r="CD55" s="32">
        <v>7</v>
      </c>
      <c r="CE55" s="33"/>
      <c r="CF55" s="34">
        <v>1</v>
      </c>
      <c r="CG55" s="32"/>
      <c r="CH55" s="33"/>
      <c r="CI55" s="34">
        <v>9</v>
      </c>
      <c r="CJ55" s="84">
        <v>5</v>
      </c>
      <c r="CK55" s="33">
        <v>6</v>
      </c>
      <c r="CL55" s="34">
        <v>4</v>
      </c>
      <c r="CM55" s="26"/>
      <c r="CN55" s="26"/>
      <c r="CO55" s="78"/>
      <c r="CP55" s="32">
        <v>8</v>
      </c>
      <c r="CQ55" s="33"/>
      <c r="CR55" s="34"/>
      <c r="CS55" s="32">
        <v>7</v>
      </c>
      <c r="CT55" s="33">
        <v>9</v>
      </c>
      <c r="CU55" s="34"/>
      <c r="CV55" s="32">
        <v>6</v>
      </c>
      <c r="CW55" s="33"/>
      <c r="CX55" s="34"/>
      <c r="CY55" s="80"/>
      <c r="CZ55" s="26"/>
    </row>
    <row r="56" spans="1:104" ht="12.75" customHeight="1" thickTop="1" thickBot="1" x14ac:dyDescent="0.25">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13"/>
      <c r="AA56" s="121"/>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38"/>
      <c r="AZ56" s="26"/>
      <c r="BA56" s="26"/>
      <c r="BB56" s="22">
        <v>3</v>
      </c>
      <c r="BC56" s="63"/>
      <c r="BD56" s="36"/>
      <c r="BE56" s="81">
        <v>4</v>
      </c>
      <c r="BF56" s="64">
        <v>5</v>
      </c>
      <c r="BG56" s="82"/>
      <c r="BH56" s="37"/>
      <c r="BI56" s="35"/>
      <c r="BJ56" s="36">
        <v>6</v>
      </c>
      <c r="BK56" s="37">
        <v>2</v>
      </c>
      <c r="BL56" s="26"/>
      <c r="BM56" s="26"/>
      <c r="BN56" s="75" t="s">
        <v>30</v>
      </c>
      <c r="BO56" s="76"/>
      <c r="BP56" s="76"/>
      <c r="BQ56" s="76"/>
      <c r="BR56" s="76"/>
      <c r="BS56" s="76"/>
      <c r="BT56" s="76"/>
      <c r="BU56" s="76"/>
      <c r="BV56" s="76"/>
      <c r="BW56" s="76"/>
      <c r="BX56" s="77"/>
      <c r="BY56" s="26"/>
      <c r="BZ56" s="38"/>
      <c r="CA56" s="26"/>
      <c r="CB56" s="26"/>
      <c r="CC56" s="22">
        <v>3</v>
      </c>
      <c r="CD56" s="35"/>
      <c r="CE56" s="36"/>
      <c r="CF56" s="37"/>
      <c r="CG56" s="35"/>
      <c r="CH56" s="36"/>
      <c r="CI56" s="37"/>
      <c r="CJ56" s="35">
        <v>8</v>
      </c>
      <c r="CK56" s="36">
        <v>9</v>
      </c>
      <c r="CL56" s="37">
        <v>7</v>
      </c>
      <c r="CM56" s="26"/>
      <c r="CN56" s="26"/>
      <c r="CO56" s="78"/>
      <c r="CP56" s="35"/>
      <c r="CQ56" s="36"/>
      <c r="CR56" s="37"/>
      <c r="CS56" s="35">
        <v>4</v>
      </c>
      <c r="CT56" s="36">
        <v>2</v>
      </c>
      <c r="CU56" s="37">
        <v>3</v>
      </c>
      <c r="CV56" s="35">
        <v>7</v>
      </c>
      <c r="CW56" s="36">
        <v>8</v>
      </c>
      <c r="CX56" s="37">
        <v>9</v>
      </c>
      <c r="CY56" s="80"/>
      <c r="CZ56" s="26"/>
    </row>
    <row r="57" spans="1:104" ht="12.75" customHeight="1" thickBot="1" x14ac:dyDescent="0.25">
      <c r="A57" s="106"/>
      <c r="B57" s="106"/>
      <c r="C57" s="106"/>
      <c r="D57" s="106"/>
      <c r="E57" s="200">
        <v>2</v>
      </c>
      <c r="F57" s="179"/>
      <c r="G57" s="172"/>
      <c r="H57" s="179"/>
      <c r="I57" s="172"/>
      <c r="J57" s="173"/>
      <c r="K57" s="200">
        <v>1</v>
      </c>
      <c r="L57" s="179"/>
      <c r="M57" s="172"/>
      <c r="N57" s="179"/>
      <c r="O57" s="197"/>
      <c r="P57" s="198"/>
      <c r="Q57" s="200">
        <v>3</v>
      </c>
      <c r="R57" s="179"/>
      <c r="S57" s="172">
        <v>6</v>
      </c>
      <c r="T57" s="179"/>
      <c r="U57" s="172">
        <v>5</v>
      </c>
      <c r="V57" s="173"/>
      <c r="W57" s="108"/>
      <c r="X57" s="108"/>
      <c r="Y57" s="106"/>
      <c r="Z57" s="113"/>
      <c r="AA57" s="218" t="s">
        <v>111</v>
      </c>
      <c r="AB57" s="218"/>
      <c r="AC57" s="218"/>
      <c r="AD57" s="218"/>
      <c r="AE57" s="218"/>
      <c r="AF57" s="218"/>
      <c r="AG57" s="218"/>
      <c r="AH57" s="218"/>
      <c r="AI57" s="218"/>
      <c r="AJ57" s="218"/>
      <c r="AK57" s="218"/>
      <c r="AL57" s="218"/>
      <c r="AM57" s="218"/>
      <c r="AN57" s="218"/>
      <c r="AO57" s="218"/>
      <c r="AP57" s="218"/>
      <c r="AQ57" s="218"/>
      <c r="AR57" s="218"/>
      <c r="AS57" s="218"/>
      <c r="AT57" s="218"/>
      <c r="AU57" s="218"/>
      <c r="AV57" s="218"/>
      <c r="AW57" s="218"/>
      <c r="AX57" s="114"/>
      <c r="AY57" s="38"/>
      <c r="AZ57" s="26"/>
      <c r="BA57" s="26"/>
      <c r="BB57" s="22">
        <v>4</v>
      </c>
      <c r="BC57" s="29"/>
      <c r="BD57" s="30"/>
      <c r="BE57" s="31"/>
      <c r="BF57" s="84">
        <v>2</v>
      </c>
      <c r="BG57" s="30"/>
      <c r="BH57" s="31">
        <v>4</v>
      </c>
      <c r="BI57" s="29"/>
      <c r="BJ57" s="30">
        <v>1</v>
      </c>
      <c r="BK57" s="31">
        <v>8</v>
      </c>
      <c r="BL57" s="26"/>
      <c r="BM57" s="26"/>
      <c r="BN57" s="78"/>
      <c r="BO57" s="79"/>
      <c r="BP57" s="79"/>
      <c r="BQ57" s="79"/>
      <c r="BR57" s="79"/>
      <c r="BS57" s="79"/>
      <c r="BT57" s="79"/>
      <c r="BU57" s="79"/>
      <c r="BV57" s="79"/>
      <c r="BW57" s="79"/>
      <c r="BX57" s="80"/>
      <c r="BY57" s="26"/>
      <c r="BZ57" s="38"/>
      <c r="CA57" s="26"/>
      <c r="CB57" s="26"/>
      <c r="CC57" s="22">
        <v>4</v>
      </c>
      <c r="CD57" s="29"/>
      <c r="CE57" s="30">
        <v>5</v>
      </c>
      <c r="CF57" s="31"/>
      <c r="CG57" s="29">
        <v>9</v>
      </c>
      <c r="CH57" s="30"/>
      <c r="CI57" s="31">
        <v>2</v>
      </c>
      <c r="CJ57" s="29">
        <v>3</v>
      </c>
      <c r="CK57" s="30">
        <v>1</v>
      </c>
      <c r="CL57" s="31">
        <v>8</v>
      </c>
      <c r="CM57" s="26"/>
      <c r="CN57" s="26"/>
      <c r="CO57" s="78"/>
      <c r="CP57" s="79"/>
      <c r="CQ57" s="79"/>
      <c r="CR57" s="79"/>
      <c r="CS57" s="79"/>
      <c r="CT57" s="79"/>
      <c r="CU57" s="79"/>
      <c r="CV57" s="79"/>
      <c r="CW57" s="79"/>
      <c r="CX57" s="79"/>
      <c r="CY57" s="80"/>
      <c r="CZ57" s="26"/>
    </row>
    <row r="58" spans="1:104" ht="12.75" customHeight="1" x14ac:dyDescent="0.2">
      <c r="A58" s="106"/>
      <c r="B58" s="106"/>
      <c r="C58" s="106"/>
      <c r="D58" s="106"/>
      <c r="E58" s="181"/>
      <c r="F58" s="170"/>
      <c r="G58" s="170"/>
      <c r="H58" s="170"/>
      <c r="I58" s="170"/>
      <c r="J58" s="174"/>
      <c r="K58" s="181"/>
      <c r="L58" s="170"/>
      <c r="M58" s="170"/>
      <c r="N58" s="170"/>
      <c r="O58" s="199"/>
      <c r="P58" s="184"/>
      <c r="Q58" s="181"/>
      <c r="R58" s="170"/>
      <c r="S58" s="170"/>
      <c r="T58" s="170"/>
      <c r="U58" s="170"/>
      <c r="V58" s="174"/>
      <c r="W58" s="108"/>
      <c r="X58" s="108"/>
      <c r="Y58" s="106"/>
      <c r="Z58" s="113"/>
      <c r="AA58" s="218"/>
      <c r="AB58" s="218"/>
      <c r="AC58" s="218"/>
      <c r="AD58" s="218"/>
      <c r="AE58" s="218"/>
      <c r="AF58" s="218"/>
      <c r="AG58" s="218"/>
      <c r="AH58" s="218"/>
      <c r="AI58" s="218"/>
      <c r="AJ58" s="218"/>
      <c r="AK58" s="218"/>
      <c r="AL58" s="218"/>
      <c r="AM58" s="218"/>
      <c r="AN58" s="218"/>
      <c r="AO58" s="218"/>
      <c r="AP58" s="218"/>
      <c r="AQ58" s="218"/>
      <c r="AR58" s="218"/>
      <c r="AS58" s="218"/>
      <c r="AT58" s="218"/>
      <c r="AU58" s="218"/>
      <c r="AV58" s="218"/>
      <c r="AW58" s="218"/>
      <c r="AX58" s="114"/>
      <c r="AY58" s="38"/>
      <c r="AZ58" s="26"/>
      <c r="BA58" s="26"/>
      <c r="BB58" s="22">
        <v>5</v>
      </c>
      <c r="BC58" s="32">
        <v>1</v>
      </c>
      <c r="BD58" s="33"/>
      <c r="BE58" s="34"/>
      <c r="BF58" s="32"/>
      <c r="BG58" s="33"/>
      <c r="BH58" s="34"/>
      <c r="BI58" s="32"/>
      <c r="BJ58" s="33"/>
      <c r="BK58" s="34">
        <v>3</v>
      </c>
      <c r="BL58" s="26"/>
      <c r="BM58" s="26"/>
      <c r="BN58" s="78"/>
      <c r="BO58" s="62"/>
      <c r="BP58" s="30"/>
      <c r="BQ58" s="31"/>
      <c r="BR58" s="29"/>
      <c r="BS58" s="30"/>
      <c r="BT58" s="31"/>
      <c r="BU58" s="29">
        <v>5</v>
      </c>
      <c r="BV58" s="30"/>
      <c r="BW58" s="31"/>
      <c r="BX58" s="80"/>
      <c r="BY58" s="26"/>
      <c r="BZ58" s="38"/>
      <c r="CA58" s="26"/>
      <c r="CB58" s="26"/>
      <c r="CC58" s="22">
        <v>5</v>
      </c>
      <c r="CD58" s="32">
        <v>3</v>
      </c>
      <c r="CE58" s="33">
        <v>9</v>
      </c>
      <c r="CF58" s="34">
        <v>8</v>
      </c>
      <c r="CG58" s="32"/>
      <c r="CH58" s="33"/>
      <c r="CI58" s="34"/>
      <c r="CJ58" s="32">
        <v>4</v>
      </c>
      <c r="CK58" s="33">
        <v>7</v>
      </c>
      <c r="CL58" s="34">
        <v>2</v>
      </c>
      <c r="CM58" s="26"/>
      <c r="CN58" s="26"/>
      <c r="CO58" s="26"/>
      <c r="CP58" s="26"/>
      <c r="CQ58" s="26"/>
      <c r="CR58" s="26"/>
      <c r="CS58" s="26"/>
      <c r="CT58" s="26"/>
      <c r="CU58" s="26"/>
      <c r="CV58" s="26"/>
      <c r="CW58" s="26"/>
      <c r="CX58" s="26"/>
      <c r="CY58" s="26"/>
      <c r="CZ58" s="26"/>
    </row>
    <row r="59" spans="1:104" ht="12.75" customHeight="1" thickBot="1" x14ac:dyDescent="0.25">
      <c r="A59" s="106"/>
      <c r="B59" s="106"/>
      <c r="C59" s="106"/>
      <c r="D59" s="106"/>
      <c r="E59" s="180">
        <v>7</v>
      </c>
      <c r="F59" s="170"/>
      <c r="G59" s="169">
        <v>8</v>
      </c>
      <c r="H59" s="170"/>
      <c r="I59" s="169">
        <v>6</v>
      </c>
      <c r="J59" s="174"/>
      <c r="K59" s="180"/>
      <c r="L59" s="170"/>
      <c r="M59" s="169">
        <v>4</v>
      </c>
      <c r="N59" s="170"/>
      <c r="O59" s="183">
        <v>5</v>
      </c>
      <c r="P59" s="184"/>
      <c r="Q59" s="180">
        <v>1</v>
      </c>
      <c r="R59" s="170"/>
      <c r="S59" s="169"/>
      <c r="T59" s="170"/>
      <c r="U59" s="169"/>
      <c r="V59" s="174"/>
      <c r="W59" s="108"/>
      <c r="X59" s="108"/>
      <c r="Y59" s="106"/>
      <c r="Z59" s="113"/>
      <c r="AA59" s="219"/>
      <c r="AB59" s="219"/>
      <c r="AC59" s="219"/>
      <c r="AD59" s="219"/>
      <c r="AE59" s="219"/>
      <c r="AF59" s="219"/>
      <c r="AG59" s="219"/>
      <c r="AH59" s="219"/>
      <c r="AI59" s="219"/>
      <c r="AJ59" s="219"/>
      <c r="AK59" s="219"/>
      <c r="AL59" s="219"/>
      <c r="AM59" s="219"/>
      <c r="AN59" s="219"/>
      <c r="AO59" s="219"/>
      <c r="AP59" s="219"/>
      <c r="AQ59" s="219"/>
      <c r="AR59" s="219"/>
      <c r="AS59" s="219"/>
      <c r="AT59" s="219"/>
      <c r="AU59" s="219"/>
      <c r="AV59" s="219"/>
      <c r="AW59" s="219"/>
      <c r="AX59" s="114"/>
      <c r="AY59" s="38"/>
      <c r="AZ59" s="26"/>
      <c r="BA59" s="26"/>
      <c r="BB59" s="22">
        <v>6</v>
      </c>
      <c r="BC59" s="35">
        <v>6</v>
      </c>
      <c r="BD59" s="36"/>
      <c r="BE59" s="37"/>
      <c r="BF59" s="35">
        <v>1</v>
      </c>
      <c r="BG59" s="36"/>
      <c r="BH59" s="37">
        <v>5</v>
      </c>
      <c r="BI59" s="35"/>
      <c r="BJ59" s="36"/>
      <c r="BK59" s="37"/>
      <c r="BL59" s="26"/>
      <c r="BM59" s="26"/>
      <c r="BN59" s="78"/>
      <c r="BO59" s="32"/>
      <c r="BP59" s="61"/>
      <c r="BQ59" s="34">
        <v>7</v>
      </c>
      <c r="BR59" s="32"/>
      <c r="BS59" s="33">
        <v>9</v>
      </c>
      <c r="BT59" s="34">
        <v>3</v>
      </c>
      <c r="BU59" s="32"/>
      <c r="BV59" s="33"/>
      <c r="BW59" s="34">
        <v>1</v>
      </c>
      <c r="BX59" s="80"/>
      <c r="BY59" s="26"/>
      <c r="BZ59" s="38"/>
      <c r="CA59" s="26"/>
      <c r="CB59" s="26"/>
      <c r="CC59" s="22">
        <v>6</v>
      </c>
      <c r="CD59" s="35">
        <v>1</v>
      </c>
      <c r="CE59" s="36">
        <v>2</v>
      </c>
      <c r="CF59" s="37"/>
      <c r="CG59" s="35">
        <v>3</v>
      </c>
      <c r="CH59" s="36"/>
      <c r="CI59" s="37">
        <v>8</v>
      </c>
      <c r="CJ59" s="35">
        <v>9</v>
      </c>
      <c r="CK59" s="36">
        <v>5</v>
      </c>
      <c r="CL59" s="37">
        <v>6</v>
      </c>
      <c r="CM59" s="26"/>
      <c r="CN59" s="27" t="s">
        <v>88</v>
      </c>
      <c r="CO59" s="26"/>
      <c r="CP59" s="26"/>
      <c r="CQ59" s="26"/>
      <c r="CR59" s="26"/>
      <c r="CS59" s="26"/>
      <c r="CT59" s="26"/>
      <c r="CU59" s="26"/>
      <c r="CV59" s="26"/>
      <c r="CW59" s="26"/>
      <c r="CX59" s="26"/>
      <c r="CY59" s="26"/>
      <c r="CZ59" s="26"/>
    </row>
    <row r="60" spans="1:104" ht="12.75" customHeight="1" thickBot="1" x14ac:dyDescent="0.25">
      <c r="A60" s="106"/>
      <c r="B60" s="106"/>
      <c r="C60" s="106"/>
      <c r="D60" s="106"/>
      <c r="E60" s="181"/>
      <c r="F60" s="170"/>
      <c r="G60" s="170"/>
      <c r="H60" s="170"/>
      <c r="I60" s="170"/>
      <c r="J60" s="174"/>
      <c r="K60" s="181"/>
      <c r="L60" s="170"/>
      <c r="M60" s="170"/>
      <c r="N60" s="170"/>
      <c r="O60" s="199"/>
      <c r="P60" s="184"/>
      <c r="Q60" s="181"/>
      <c r="R60" s="170"/>
      <c r="S60" s="170"/>
      <c r="T60" s="170"/>
      <c r="U60" s="170"/>
      <c r="V60" s="174"/>
      <c r="W60" s="108"/>
      <c r="X60" s="108"/>
      <c r="Y60" s="106"/>
      <c r="Z60" s="113"/>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14"/>
      <c r="AY60" s="38"/>
      <c r="AZ60" s="26"/>
      <c r="BA60" s="26"/>
      <c r="BB60" s="23">
        <v>7</v>
      </c>
      <c r="BC60" s="29">
        <v>5</v>
      </c>
      <c r="BD60" s="30">
        <v>9</v>
      </c>
      <c r="BE60" s="31"/>
      <c r="BF60" s="29"/>
      <c r="BG60" s="30"/>
      <c r="BH60" s="31"/>
      <c r="BI60" s="29">
        <v>2</v>
      </c>
      <c r="BJ60" s="30"/>
      <c r="BK60" s="31"/>
      <c r="BL60" s="26"/>
      <c r="BM60" s="26"/>
      <c r="BN60" s="78"/>
      <c r="BO60" s="63"/>
      <c r="BP60" s="36"/>
      <c r="BQ60" s="37">
        <v>4</v>
      </c>
      <c r="BR60" s="35"/>
      <c r="BS60" s="36"/>
      <c r="BT60" s="37"/>
      <c r="BU60" s="35"/>
      <c r="BV60" s="36">
        <v>6</v>
      </c>
      <c r="BW60" s="37">
        <v>2</v>
      </c>
      <c r="BX60" s="80"/>
      <c r="BY60" s="26"/>
      <c r="BZ60" s="38"/>
      <c r="CA60" s="26"/>
      <c r="CB60" s="26"/>
      <c r="CC60" s="23">
        <v>7</v>
      </c>
      <c r="CD60" s="29"/>
      <c r="CE60" s="30">
        <v>7</v>
      </c>
      <c r="CF60" s="31">
        <v>9</v>
      </c>
      <c r="CG60" s="29"/>
      <c r="CH60" s="30"/>
      <c r="CI60" s="31"/>
      <c r="CJ60" s="29"/>
      <c r="CK60" s="30"/>
      <c r="CL60" s="31"/>
      <c r="CM60" s="26"/>
      <c r="CN60" s="26"/>
      <c r="CO60" s="26"/>
      <c r="CP60" s="26"/>
      <c r="CQ60" s="26"/>
      <c r="CR60" s="26"/>
      <c r="CS60" s="26"/>
      <c r="CT60" s="26"/>
      <c r="CU60" s="26"/>
      <c r="CV60" s="26"/>
      <c r="CW60" s="26"/>
      <c r="CX60" s="26"/>
      <c r="CY60" s="26"/>
      <c r="CZ60" s="26"/>
    </row>
    <row r="61" spans="1:104" ht="12.75" customHeight="1" x14ac:dyDescent="0.2">
      <c r="A61" s="106"/>
      <c r="B61" s="106"/>
      <c r="C61" s="106"/>
      <c r="D61" s="106"/>
      <c r="E61" s="180">
        <v>1</v>
      </c>
      <c r="F61" s="170"/>
      <c r="G61" s="169"/>
      <c r="H61" s="170"/>
      <c r="I61" s="169"/>
      <c r="J61" s="174"/>
      <c r="K61" s="180"/>
      <c r="L61" s="170"/>
      <c r="M61" s="169"/>
      <c r="N61" s="170"/>
      <c r="O61" s="183">
        <v>9</v>
      </c>
      <c r="P61" s="184"/>
      <c r="Q61" s="180">
        <v>7</v>
      </c>
      <c r="R61" s="170"/>
      <c r="S61" s="169">
        <v>4</v>
      </c>
      <c r="T61" s="170"/>
      <c r="U61" s="169">
        <v>8</v>
      </c>
      <c r="V61" s="174"/>
      <c r="W61" s="108"/>
      <c r="X61" s="108"/>
      <c r="Y61" s="106"/>
      <c r="Z61" s="113"/>
      <c r="AA61" s="218" t="s">
        <v>109</v>
      </c>
      <c r="AB61" s="218"/>
      <c r="AC61" s="218"/>
      <c r="AD61" s="218"/>
      <c r="AE61" s="218"/>
      <c r="AF61" s="218"/>
      <c r="AG61" s="218"/>
      <c r="AH61" s="218"/>
      <c r="AI61" s="218"/>
      <c r="AJ61" s="218"/>
      <c r="AK61" s="218"/>
      <c r="AL61" s="218"/>
      <c r="AM61" s="218"/>
      <c r="AN61" s="218"/>
      <c r="AO61" s="218"/>
      <c r="AP61" s="218"/>
      <c r="AQ61" s="218"/>
      <c r="AR61" s="218"/>
      <c r="AS61" s="218"/>
      <c r="AT61" s="218"/>
      <c r="AU61" s="218"/>
      <c r="AV61" s="218"/>
      <c r="AW61" s="218"/>
      <c r="AX61" s="114"/>
      <c r="AY61" s="38"/>
      <c r="AZ61" s="26"/>
      <c r="BA61" s="26"/>
      <c r="BB61" s="23">
        <v>8</v>
      </c>
      <c r="BC61" s="32">
        <v>4</v>
      </c>
      <c r="BD61" s="33"/>
      <c r="BE61" s="34"/>
      <c r="BF61" s="32">
        <v>8</v>
      </c>
      <c r="BG61" s="33"/>
      <c r="BH61" s="34"/>
      <c r="BI61" s="32">
        <v>1</v>
      </c>
      <c r="BJ61" s="33">
        <v>5</v>
      </c>
      <c r="BK61" s="34"/>
      <c r="BL61" s="26"/>
      <c r="BM61" s="26"/>
      <c r="BN61" s="78"/>
      <c r="BO61" s="29"/>
      <c r="BP61" s="30"/>
      <c r="BQ61" s="31"/>
      <c r="BR61" s="29">
        <v>2</v>
      </c>
      <c r="BS61" s="30"/>
      <c r="BT61" s="31">
        <v>4</v>
      </c>
      <c r="BU61" s="29"/>
      <c r="BV61" s="30">
        <v>1</v>
      </c>
      <c r="BW61" s="31">
        <v>8</v>
      </c>
      <c r="BX61" s="80"/>
      <c r="BY61" s="26"/>
      <c r="BZ61" s="38"/>
      <c r="CA61" s="26"/>
      <c r="CB61" s="26"/>
      <c r="CC61" s="23">
        <v>8</v>
      </c>
      <c r="CD61" s="32">
        <v>8</v>
      </c>
      <c r="CE61" s="33"/>
      <c r="CF61" s="34"/>
      <c r="CG61" s="32">
        <v>7</v>
      </c>
      <c r="CH61" s="33">
        <v>9</v>
      </c>
      <c r="CI61" s="34"/>
      <c r="CJ61" s="32">
        <v>6</v>
      </c>
      <c r="CK61" s="33"/>
      <c r="CL61" s="34"/>
      <c r="CM61" s="26"/>
      <c r="CN61" s="26"/>
      <c r="CO61" s="26"/>
      <c r="CP61" s="26"/>
      <c r="CQ61" s="26"/>
      <c r="CR61" s="26"/>
      <c r="CS61" s="26"/>
      <c r="CT61" s="26"/>
      <c r="CU61" s="26"/>
      <c r="CV61" s="26"/>
      <c r="CW61" s="26"/>
      <c r="CX61" s="26"/>
      <c r="CY61" s="26"/>
      <c r="CZ61" s="26"/>
    </row>
    <row r="62" spans="1:104" ht="12.75" customHeight="1" thickBot="1" x14ac:dyDescent="0.25">
      <c r="A62" s="106"/>
      <c r="B62" s="106"/>
      <c r="C62" s="106"/>
      <c r="D62" s="106"/>
      <c r="E62" s="182"/>
      <c r="F62" s="171"/>
      <c r="G62" s="171"/>
      <c r="H62" s="171"/>
      <c r="I62" s="171"/>
      <c r="J62" s="175"/>
      <c r="K62" s="182"/>
      <c r="L62" s="171"/>
      <c r="M62" s="171"/>
      <c r="N62" s="171"/>
      <c r="O62" s="185"/>
      <c r="P62" s="186"/>
      <c r="Q62" s="182"/>
      <c r="R62" s="171"/>
      <c r="S62" s="171"/>
      <c r="T62" s="171"/>
      <c r="U62" s="171"/>
      <c r="V62" s="175"/>
      <c r="W62" s="108"/>
      <c r="X62" s="108"/>
      <c r="Y62" s="106"/>
      <c r="Z62" s="113"/>
      <c r="AA62" s="218"/>
      <c r="AB62" s="218"/>
      <c r="AC62" s="218"/>
      <c r="AD62" s="218"/>
      <c r="AE62" s="218"/>
      <c r="AF62" s="218"/>
      <c r="AG62" s="218"/>
      <c r="AH62" s="218"/>
      <c r="AI62" s="218"/>
      <c r="AJ62" s="218"/>
      <c r="AK62" s="218"/>
      <c r="AL62" s="218"/>
      <c r="AM62" s="218"/>
      <c r="AN62" s="218"/>
      <c r="AO62" s="218"/>
      <c r="AP62" s="218"/>
      <c r="AQ62" s="218"/>
      <c r="AR62" s="218"/>
      <c r="AS62" s="218"/>
      <c r="AT62" s="218"/>
      <c r="AU62" s="218"/>
      <c r="AV62" s="218"/>
      <c r="AW62" s="218"/>
      <c r="AX62" s="114"/>
      <c r="AY62" s="38"/>
      <c r="AZ62" s="26"/>
      <c r="BA62" s="26"/>
      <c r="BB62" s="24">
        <v>9</v>
      </c>
      <c r="BC62" s="35"/>
      <c r="BD62" s="36"/>
      <c r="BE62" s="37">
        <v>6</v>
      </c>
      <c r="BF62" s="35"/>
      <c r="BG62" s="36"/>
      <c r="BH62" s="37"/>
      <c r="BI62" s="35"/>
      <c r="BJ62" s="36"/>
      <c r="BK62" s="37"/>
      <c r="BL62" s="26"/>
      <c r="BM62" s="26"/>
      <c r="BN62" s="78"/>
      <c r="BO62" s="32">
        <v>1</v>
      </c>
      <c r="BP62" s="33"/>
      <c r="BQ62" s="34"/>
      <c r="BR62" s="32"/>
      <c r="BS62" s="33"/>
      <c r="BT62" s="34"/>
      <c r="BU62" s="32"/>
      <c r="BV62" s="33"/>
      <c r="BW62" s="34">
        <v>3</v>
      </c>
      <c r="BX62" s="80"/>
      <c r="BY62" s="26"/>
      <c r="BZ62" s="38"/>
      <c r="CA62" s="26"/>
      <c r="CB62" s="26"/>
      <c r="CC62" s="24">
        <v>9</v>
      </c>
      <c r="CD62" s="35"/>
      <c r="CE62" s="36"/>
      <c r="CF62" s="37"/>
      <c r="CG62" s="35">
        <v>4</v>
      </c>
      <c r="CH62" s="36">
        <v>2</v>
      </c>
      <c r="CI62" s="37">
        <v>3</v>
      </c>
      <c r="CJ62" s="35">
        <v>7</v>
      </c>
      <c r="CK62" s="36">
        <v>8</v>
      </c>
      <c r="CL62" s="37">
        <v>9</v>
      </c>
      <c r="CM62" s="26"/>
      <c r="CN62" s="26"/>
      <c r="CO62" s="26"/>
      <c r="CP62" s="26"/>
      <c r="CQ62" s="26"/>
      <c r="CR62" s="26"/>
      <c r="CS62" s="26"/>
      <c r="CT62" s="26"/>
      <c r="CU62" s="26"/>
      <c r="CV62" s="26"/>
      <c r="CW62" s="26"/>
      <c r="CX62" s="26"/>
      <c r="CY62" s="26"/>
      <c r="CZ62" s="26"/>
    </row>
    <row r="63" spans="1:104" ht="12.75" customHeight="1" thickBot="1" x14ac:dyDescent="0.25">
      <c r="A63" s="106"/>
      <c r="B63" s="106"/>
      <c r="C63" s="106"/>
      <c r="D63" s="106"/>
      <c r="E63" s="200"/>
      <c r="F63" s="179"/>
      <c r="G63" s="172">
        <v>9</v>
      </c>
      <c r="H63" s="179"/>
      <c r="I63" s="172"/>
      <c r="J63" s="173"/>
      <c r="K63" s="206">
        <v>6</v>
      </c>
      <c r="L63" s="207"/>
      <c r="M63" s="212">
        <v>7</v>
      </c>
      <c r="N63" s="207"/>
      <c r="O63" s="187">
        <v>1</v>
      </c>
      <c r="P63" s="188"/>
      <c r="Q63" s="200"/>
      <c r="R63" s="179"/>
      <c r="S63" s="172">
        <v>3</v>
      </c>
      <c r="T63" s="179"/>
      <c r="U63" s="172"/>
      <c r="V63" s="173"/>
      <c r="W63" s="108"/>
      <c r="X63" s="108"/>
      <c r="Y63" s="106"/>
      <c r="Z63" s="113"/>
      <c r="AA63" s="220"/>
      <c r="AB63" s="220"/>
      <c r="AC63" s="220"/>
      <c r="AD63" s="220"/>
      <c r="AE63" s="220"/>
      <c r="AF63" s="220"/>
      <c r="AG63" s="220"/>
      <c r="AH63" s="220"/>
      <c r="AI63" s="220"/>
      <c r="AJ63" s="220"/>
      <c r="AK63" s="220"/>
      <c r="AL63" s="220"/>
      <c r="AM63" s="220"/>
      <c r="AN63" s="220"/>
      <c r="AO63" s="220"/>
      <c r="AP63" s="220"/>
      <c r="AQ63" s="220"/>
      <c r="AR63" s="220"/>
      <c r="AS63" s="220"/>
      <c r="AT63" s="220"/>
      <c r="AU63" s="220"/>
      <c r="AV63" s="220"/>
      <c r="AW63" s="220"/>
      <c r="AX63" s="114"/>
      <c r="AY63" s="38"/>
      <c r="AZ63" s="26"/>
      <c r="BA63" s="26"/>
      <c r="BB63" s="26"/>
      <c r="BC63" s="26"/>
      <c r="BD63" s="26"/>
      <c r="BE63" s="26"/>
      <c r="BF63" s="26"/>
      <c r="BG63" s="26"/>
      <c r="BH63" s="26"/>
      <c r="BI63" s="26"/>
      <c r="BJ63" s="26"/>
      <c r="BK63" s="26"/>
      <c r="BL63" s="26"/>
      <c r="BM63" s="26"/>
      <c r="BN63" s="78"/>
      <c r="BO63" s="35">
        <v>6</v>
      </c>
      <c r="BP63" s="36"/>
      <c r="BQ63" s="37"/>
      <c r="BR63" s="35">
        <v>1</v>
      </c>
      <c r="BS63" s="36"/>
      <c r="BT63" s="37">
        <v>5</v>
      </c>
      <c r="BU63" s="35"/>
      <c r="BV63" s="36"/>
      <c r="BW63" s="37"/>
      <c r="BX63" s="80"/>
      <c r="BY63" s="26"/>
      <c r="BZ63" s="38"/>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row>
    <row r="64" spans="1:104" ht="12.75" customHeight="1" thickBot="1" x14ac:dyDescent="0.25">
      <c r="A64" s="106"/>
      <c r="B64" s="106"/>
      <c r="C64" s="106"/>
      <c r="D64" s="106"/>
      <c r="E64" s="181"/>
      <c r="F64" s="170"/>
      <c r="G64" s="170"/>
      <c r="H64" s="170"/>
      <c r="I64" s="170"/>
      <c r="J64" s="174"/>
      <c r="K64" s="208"/>
      <c r="L64" s="204"/>
      <c r="M64" s="204"/>
      <c r="N64" s="204"/>
      <c r="O64" s="189"/>
      <c r="P64" s="190"/>
      <c r="Q64" s="181"/>
      <c r="R64" s="170"/>
      <c r="S64" s="170"/>
      <c r="T64" s="170"/>
      <c r="U64" s="170"/>
      <c r="V64" s="174"/>
      <c r="W64" s="108"/>
      <c r="X64" s="108"/>
      <c r="Y64" s="106"/>
      <c r="Z64" s="113"/>
      <c r="AA64" s="156"/>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14"/>
      <c r="AY64" s="38"/>
      <c r="AZ64" s="26"/>
      <c r="BA64" s="26"/>
      <c r="BB64" s="26"/>
      <c r="BC64" s="26"/>
      <c r="BD64" s="26"/>
      <c r="BE64" s="26"/>
      <c r="BF64" s="26"/>
      <c r="BG64" s="26"/>
      <c r="BH64" s="26"/>
      <c r="BI64" s="26"/>
      <c r="BJ64" s="26"/>
      <c r="BK64" s="26"/>
      <c r="BL64" s="26"/>
      <c r="BM64" s="26"/>
      <c r="BN64" s="78"/>
      <c r="BO64" s="29">
        <v>5</v>
      </c>
      <c r="BP64" s="30">
        <v>9</v>
      </c>
      <c r="BQ64" s="31"/>
      <c r="BR64" s="29"/>
      <c r="BS64" s="30"/>
      <c r="BT64" s="31"/>
      <c r="BU64" s="29">
        <v>2</v>
      </c>
      <c r="BV64" s="30"/>
      <c r="BW64" s="31"/>
      <c r="BX64" s="80"/>
      <c r="BY64" s="26"/>
      <c r="BZ64" s="38"/>
      <c r="CA64" s="74" t="s">
        <v>58</v>
      </c>
      <c r="CB64" s="26"/>
      <c r="CC64" s="28" t="s">
        <v>73</v>
      </c>
      <c r="CD64" s="26"/>
      <c r="CE64" s="26"/>
      <c r="CF64" s="26"/>
      <c r="CG64" s="26"/>
      <c r="CH64" s="26"/>
      <c r="CI64" s="26"/>
      <c r="CJ64" s="26"/>
      <c r="CK64" s="26"/>
      <c r="CL64" s="26"/>
      <c r="CM64" s="26"/>
      <c r="CN64" s="26"/>
      <c r="CO64" s="26"/>
      <c r="CP64" s="26"/>
      <c r="CQ64" s="26"/>
      <c r="CR64" s="26"/>
      <c r="CS64" s="26"/>
      <c r="CT64" s="26"/>
      <c r="CU64" s="26"/>
      <c r="CV64" s="26"/>
      <c r="CW64" s="26"/>
      <c r="CX64" s="26"/>
      <c r="CY64" s="26"/>
      <c r="CZ64" s="26"/>
    </row>
    <row r="65" spans="1:104" ht="12.75" customHeight="1" x14ac:dyDescent="0.2">
      <c r="A65" s="106"/>
      <c r="B65" s="106"/>
      <c r="C65" s="106"/>
      <c r="D65" s="106"/>
      <c r="E65" s="201">
        <v>4</v>
      </c>
      <c r="F65" s="178"/>
      <c r="G65" s="176">
        <v>1</v>
      </c>
      <c r="H65" s="178"/>
      <c r="I65" s="176">
        <v>2</v>
      </c>
      <c r="J65" s="177"/>
      <c r="K65" s="209"/>
      <c r="L65" s="210"/>
      <c r="M65" s="213"/>
      <c r="N65" s="210"/>
      <c r="O65" s="191"/>
      <c r="P65" s="192"/>
      <c r="Q65" s="201">
        <v>6</v>
      </c>
      <c r="R65" s="178"/>
      <c r="S65" s="176">
        <v>8</v>
      </c>
      <c r="T65" s="178"/>
      <c r="U65" s="176">
        <v>7</v>
      </c>
      <c r="V65" s="177"/>
      <c r="W65" s="108"/>
      <c r="X65" s="108"/>
      <c r="Y65" s="106"/>
      <c r="Z65" s="113"/>
      <c r="AA65" s="218" t="s">
        <v>112</v>
      </c>
      <c r="AB65" s="218"/>
      <c r="AC65" s="218"/>
      <c r="AD65" s="218"/>
      <c r="AE65" s="218"/>
      <c r="AF65" s="218"/>
      <c r="AG65" s="218"/>
      <c r="AH65" s="218"/>
      <c r="AI65" s="218"/>
      <c r="AJ65" s="218"/>
      <c r="AK65" s="218"/>
      <c r="AL65" s="218"/>
      <c r="AM65" s="218"/>
      <c r="AN65" s="218"/>
      <c r="AO65" s="218"/>
      <c r="AP65" s="218"/>
      <c r="AQ65" s="218"/>
      <c r="AR65" s="218"/>
      <c r="AS65" s="218"/>
      <c r="AT65" s="218"/>
      <c r="AU65" s="218"/>
      <c r="AV65" s="218"/>
      <c r="AW65" s="218"/>
      <c r="AX65" s="114"/>
      <c r="AY65" s="38"/>
      <c r="AZ65" s="26"/>
      <c r="BA65" s="26"/>
      <c r="BB65" s="26"/>
      <c r="BC65" s="26"/>
      <c r="BD65" s="26"/>
      <c r="BE65" s="26"/>
      <c r="BF65" s="26"/>
      <c r="BG65" s="26"/>
      <c r="BH65" s="26"/>
      <c r="BI65" s="26"/>
      <c r="BJ65" s="26"/>
      <c r="BK65" s="26"/>
      <c r="BL65" s="26"/>
      <c r="BM65" s="26"/>
      <c r="BN65" s="78"/>
      <c r="BO65" s="32">
        <v>4</v>
      </c>
      <c r="BP65" s="33"/>
      <c r="BQ65" s="34"/>
      <c r="BR65" s="32">
        <v>8</v>
      </c>
      <c r="BS65" s="33"/>
      <c r="BT65" s="34"/>
      <c r="BU65" s="32">
        <v>1</v>
      </c>
      <c r="BV65" s="33">
        <v>5</v>
      </c>
      <c r="BW65" s="34"/>
      <c r="BX65" s="80"/>
      <c r="BY65" s="26"/>
      <c r="BZ65" s="38"/>
      <c r="CA65" s="26"/>
      <c r="CB65" s="26"/>
      <c r="CC65" s="29">
        <v>9</v>
      </c>
      <c r="CD65" s="30">
        <v>8</v>
      </c>
      <c r="CE65" s="31">
        <v>4</v>
      </c>
      <c r="CF65" s="29">
        <v>5</v>
      </c>
      <c r="CG65" s="30">
        <v>6</v>
      </c>
      <c r="CH65" s="31">
        <v>7</v>
      </c>
      <c r="CI65" s="29">
        <v>2</v>
      </c>
      <c r="CJ65" s="30">
        <v>3</v>
      </c>
      <c r="CK65" s="31">
        <v>1</v>
      </c>
      <c r="CL65" s="26"/>
      <c r="CM65" s="26"/>
      <c r="CN65" s="27" t="s">
        <v>89</v>
      </c>
      <c r="CO65" s="26"/>
      <c r="CP65" s="26"/>
      <c r="CQ65" s="26"/>
      <c r="CR65" s="26"/>
      <c r="CS65" s="26"/>
      <c r="CT65" s="26"/>
      <c r="CU65" s="26"/>
      <c r="CV65" s="26"/>
      <c r="CW65" s="16">
        <v>4</v>
      </c>
      <c r="CX65" s="27" t="s">
        <v>90</v>
      </c>
      <c r="CY65" s="26"/>
      <c r="CZ65" s="26"/>
    </row>
    <row r="66" spans="1:104" ht="12.75" customHeight="1" thickBot="1" x14ac:dyDescent="0.25">
      <c r="A66" s="106"/>
      <c r="B66" s="106"/>
      <c r="C66" s="106"/>
      <c r="D66" s="106"/>
      <c r="E66" s="202"/>
      <c r="F66" s="178"/>
      <c r="G66" s="178"/>
      <c r="H66" s="178"/>
      <c r="I66" s="178"/>
      <c r="J66" s="177"/>
      <c r="K66" s="211"/>
      <c r="L66" s="210"/>
      <c r="M66" s="210"/>
      <c r="N66" s="210"/>
      <c r="O66" s="193"/>
      <c r="P66" s="192"/>
      <c r="Q66" s="202"/>
      <c r="R66" s="178"/>
      <c r="S66" s="178"/>
      <c r="T66" s="178"/>
      <c r="U66" s="178"/>
      <c r="V66" s="177"/>
      <c r="W66" s="108"/>
      <c r="X66" s="108"/>
      <c r="Y66" s="106"/>
      <c r="Z66" s="113"/>
      <c r="AA66" s="218"/>
      <c r="AB66" s="218"/>
      <c r="AC66" s="218"/>
      <c r="AD66" s="218"/>
      <c r="AE66" s="218"/>
      <c r="AF66" s="218"/>
      <c r="AG66" s="218"/>
      <c r="AH66" s="218"/>
      <c r="AI66" s="218"/>
      <c r="AJ66" s="218"/>
      <c r="AK66" s="218"/>
      <c r="AL66" s="218"/>
      <c r="AM66" s="218"/>
      <c r="AN66" s="218"/>
      <c r="AO66" s="218"/>
      <c r="AP66" s="218"/>
      <c r="AQ66" s="218"/>
      <c r="AR66" s="218"/>
      <c r="AS66" s="218"/>
      <c r="AT66" s="218"/>
      <c r="AU66" s="218"/>
      <c r="AV66" s="218"/>
      <c r="AW66" s="218"/>
      <c r="AX66" s="114"/>
      <c r="AY66" s="38"/>
      <c r="AZ66" s="26"/>
      <c r="BA66" s="26"/>
      <c r="BB66" s="26"/>
      <c r="BC66" s="26"/>
      <c r="BD66" s="26"/>
      <c r="BE66" s="26"/>
      <c r="BF66" s="26"/>
      <c r="BG66" s="26"/>
      <c r="BH66" s="26"/>
      <c r="BI66" s="26"/>
      <c r="BJ66" s="26"/>
      <c r="BK66" s="26"/>
      <c r="BL66" s="26"/>
      <c r="BM66" s="26"/>
      <c r="BN66" s="78"/>
      <c r="BO66" s="35"/>
      <c r="BP66" s="36"/>
      <c r="BQ66" s="37">
        <v>6</v>
      </c>
      <c r="BR66" s="35"/>
      <c r="BS66" s="36"/>
      <c r="BT66" s="37"/>
      <c r="BU66" s="35"/>
      <c r="BV66" s="36"/>
      <c r="BW66" s="37"/>
      <c r="BX66" s="80"/>
      <c r="BY66" s="26"/>
      <c r="BZ66" s="38"/>
      <c r="CA66" s="26"/>
      <c r="CB66" s="26"/>
      <c r="CC66" s="32">
        <v>7</v>
      </c>
      <c r="CD66" s="33">
        <v>3</v>
      </c>
      <c r="CE66" s="34">
        <v>1</v>
      </c>
      <c r="CF66" s="32">
        <v>2</v>
      </c>
      <c r="CG66" s="33">
        <v>8</v>
      </c>
      <c r="CH66" s="34">
        <v>9</v>
      </c>
      <c r="CI66" s="32">
        <v>5</v>
      </c>
      <c r="CJ66" s="33">
        <v>6</v>
      </c>
      <c r="CK66" s="34">
        <v>4</v>
      </c>
      <c r="CL66" s="26"/>
      <c r="CM66" s="26"/>
      <c r="CN66" s="26"/>
      <c r="CO66" s="26"/>
      <c r="CP66" s="26"/>
      <c r="CQ66" s="26"/>
      <c r="CR66" s="26"/>
      <c r="CS66" s="26"/>
      <c r="CT66" s="26"/>
      <c r="CU66" s="26"/>
      <c r="CV66" s="26"/>
      <c r="CW66" s="26"/>
      <c r="CX66" s="26"/>
      <c r="CY66" s="26"/>
      <c r="CZ66" s="26"/>
    </row>
    <row r="67" spans="1:104" ht="12.75" customHeight="1" thickBot="1" x14ac:dyDescent="0.25">
      <c r="A67" s="106"/>
      <c r="B67" s="106"/>
      <c r="C67" s="106"/>
      <c r="D67" s="106"/>
      <c r="E67" s="180"/>
      <c r="F67" s="170"/>
      <c r="G67" s="169">
        <v>7</v>
      </c>
      <c r="H67" s="170"/>
      <c r="I67" s="169"/>
      <c r="J67" s="174"/>
      <c r="K67" s="214"/>
      <c r="L67" s="204"/>
      <c r="M67" s="203">
        <v>2</v>
      </c>
      <c r="N67" s="204"/>
      <c r="O67" s="194">
        <v>8</v>
      </c>
      <c r="P67" s="190"/>
      <c r="Q67" s="180"/>
      <c r="R67" s="170"/>
      <c r="S67" s="169">
        <v>5</v>
      </c>
      <c r="T67" s="170"/>
      <c r="U67" s="169"/>
      <c r="V67" s="174"/>
      <c r="W67" s="108"/>
      <c r="X67" s="108"/>
      <c r="Y67" s="106"/>
      <c r="Z67" s="113"/>
      <c r="AA67" s="218"/>
      <c r="AB67" s="218"/>
      <c r="AC67" s="218"/>
      <c r="AD67" s="218"/>
      <c r="AE67" s="218"/>
      <c r="AF67" s="218"/>
      <c r="AG67" s="218"/>
      <c r="AH67" s="218"/>
      <c r="AI67" s="218"/>
      <c r="AJ67" s="218"/>
      <c r="AK67" s="218"/>
      <c r="AL67" s="218"/>
      <c r="AM67" s="218"/>
      <c r="AN67" s="218"/>
      <c r="AO67" s="218"/>
      <c r="AP67" s="218"/>
      <c r="AQ67" s="218"/>
      <c r="AR67" s="218"/>
      <c r="AS67" s="218"/>
      <c r="AT67" s="218"/>
      <c r="AU67" s="218"/>
      <c r="AV67" s="218"/>
      <c r="AW67" s="218"/>
      <c r="AX67" s="114"/>
      <c r="AY67" s="38"/>
      <c r="AZ67" s="26"/>
      <c r="BA67" s="26"/>
      <c r="BB67" s="26"/>
      <c r="BC67" s="26"/>
      <c r="BD67" s="26"/>
      <c r="BE67" s="26"/>
      <c r="BF67" s="26"/>
      <c r="BG67" s="26"/>
      <c r="BH67" s="26"/>
      <c r="BI67" s="26"/>
      <c r="BJ67" s="26"/>
      <c r="BK67" s="26"/>
      <c r="BL67" s="26"/>
      <c r="BM67" s="26"/>
      <c r="BN67" s="78"/>
      <c r="BO67" s="79"/>
      <c r="BP67" s="79"/>
      <c r="BQ67" s="79"/>
      <c r="BR67" s="79"/>
      <c r="BS67" s="79"/>
      <c r="BT67" s="79"/>
      <c r="BU67" s="79"/>
      <c r="BV67" s="79"/>
      <c r="BW67" s="79"/>
      <c r="BX67" s="80"/>
      <c r="BY67" s="26"/>
      <c r="BZ67" s="38"/>
      <c r="CA67" s="26"/>
      <c r="CB67" s="26"/>
      <c r="CC67" s="35">
        <v>5</v>
      </c>
      <c r="CD67" s="36">
        <v>6</v>
      </c>
      <c r="CE67" s="37">
        <v>2</v>
      </c>
      <c r="CF67" s="35">
        <v>1</v>
      </c>
      <c r="CG67" s="36">
        <v>3</v>
      </c>
      <c r="CH67" s="37">
        <v>4</v>
      </c>
      <c r="CI67" s="35">
        <v>8</v>
      </c>
      <c r="CJ67" s="36">
        <v>9</v>
      </c>
      <c r="CK67" s="37">
        <v>7</v>
      </c>
      <c r="CL67" s="26"/>
      <c r="CM67" s="26"/>
      <c r="CN67" s="26"/>
      <c r="CO67" s="26"/>
      <c r="CP67" s="26"/>
      <c r="CQ67" s="26"/>
      <c r="CR67" s="26"/>
      <c r="CS67" s="26"/>
      <c r="CT67" s="26"/>
      <c r="CU67" s="26"/>
      <c r="CV67" s="26"/>
      <c r="CW67" s="26"/>
      <c r="CX67" s="26"/>
      <c r="CY67" s="26"/>
      <c r="CZ67" s="26"/>
    </row>
    <row r="68" spans="1:104" ht="12.75" customHeight="1" thickBot="1" x14ac:dyDescent="0.25">
      <c r="A68" s="106"/>
      <c r="B68" s="106"/>
      <c r="C68" s="106"/>
      <c r="D68" s="106"/>
      <c r="E68" s="182"/>
      <c r="F68" s="171"/>
      <c r="G68" s="171"/>
      <c r="H68" s="171"/>
      <c r="I68" s="171"/>
      <c r="J68" s="175"/>
      <c r="K68" s="215"/>
      <c r="L68" s="205"/>
      <c r="M68" s="205"/>
      <c r="N68" s="205"/>
      <c r="O68" s="195"/>
      <c r="P68" s="196"/>
      <c r="Q68" s="182"/>
      <c r="R68" s="171"/>
      <c r="S68" s="171"/>
      <c r="T68" s="171"/>
      <c r="U68" s="171"/>
      <c r="V68" s="175"/>
      <c r="W68" s="108"/>
      <c r="X68" s="108"/>
      <c r="Y68" s="106"/>
      <c r="Z68" s="113"/>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c r="AW68" s="156"/>
      <c r="AX68" s="114"/>
      <c r="AY68" s="38"/>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38"/>
      <c r="CA68" s="26"/>
      <c r="CB68" s="26"/>
      <c r="CC68" s="29">
        <v>4</v>
      </c>
      <c r="CD68" s="30">
        <v>5</v>
      </c>
      <c r="CE68" s="31">
        <v>6</v>
      </c>
      <c r="CF68" s="29">
        <v>9</v>
      </c>
      <c r="CG68" s="30">
        <v>7</v>
      </c>
      <c r="CH68" s="31">
        <v>2</v>
      </c>
      <c r="CI68" s="29">
        <v>3</v>
      </c>
      <c r="CJ68" s="30">
        <v>1</v>
      </c>
      <c r="CK68" s="31">
        <v>8</v>
      </c>
      <c r="CL68" s="26"/>
      <c r="CM68" s="26"/>
      <c r="CN68" s="26"/>
      <c r="CO68" s="26"/>
      <c r="CP68" s="26"/>
      <c r="CQ68" s="26"/>
      <c r="CR68" s="26"/>
      <c r="CS68" s="26"/>
      <c r="CT68" s="26"/>
      <c r="CU68" s="26"/>
      <c r="CV68" s="26"/>
      <c r="CW68" s="26"/>
      <c r="CX68" s="26"/>
      <c r="CY68" s="26"/>
      <c r="CZ68" s="26"/>
    </row>
    <row r="69" spans="1:104" ht="12.75" customHeight="1" x14ac:dyDescent="0.2">
      <c r="A69" s="106"/>
      <c r="B69" s="106"/>
      <c r="C69" s="106"/>
      <c r="D69" s="106"/>
      <c r="E69" s="200">
        <v>3</v>
      </c>
      <c r="F69" s="179"/>
      <c r="G69" s="172">
        <v>6</v>
      </c>
      <c r="H69" s="179"/>
      <c r="I69" s="172">
        <v>1</v>
      </c>
      <c r="J69" s="173"/>
      <c r="K69" s="200">
        <v>8</v>
      </c>
      <c r="L69" s="179"/>
      <c r="M69" s="172"/>
      <c r="N69" s="179"/>
      <c r="O69" s="197"/>
      <c r="P69" s="198"/>
      <c r="Q69" s="200"/>
      <c r="R69" s="179"/>
      <c r="S69" s="172"/>
      <c r="T69" s="179"/>
      <c r="U69" s="172">
        <v>2</v>
      </c>
      <c r="V69" s="173"/>
      <c r="W69" s="108"/>
      <c r="X69" s="108"/>
      <c r="Y69" s="106"/>
      <c r="Z69" s="113"/>
      <c r="AA69" s="216" t="s">
        <v>110</v>
      </c>
      <c r="AB69" s="217"/>
      <c r="AC69" s="217"/>
      <c r="AD69" s="217"/>
      <c r="AE69" s="217"/>
      <c r="AF69" s="217"/>
      <c r="AG69" s="217"/>
      <c r="AH69" s="217"/>
      <c r="AI69" s="217"/>
      <c r="AJ69" s="217"/>
      <c r="AK69" s="217"/>
      <c r="AL69" s="217"/>
      <c r="AM69" s="217"/>
      <c r="AN69" s="217"/>
      <c r="AO69" s="217"/>
      <c r="AP69" s="217"/>
      <c r="AQ69" s="217"/>
      <c r="AR69" s="217"/>
      <c r="AS69" s="217"/>
      <c r="AT69" s="217"/>
      <c r="AU69" s="217"/>
      <c r="AV69" s="217"/>
      <c r="AW69" s="217"/>
      <c r="AX69" s="114"/>
      <c r="AY69" s="38"/>
      <c r="AZ69" s="74" t="s">
        <v>58</v>
      </c>
      <c r="BA69" s="26"/>
      <c r="BB69" s="28" t="s">
        <v>27</v>
      </c>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38"/>
      <c r="CA69" s="26"/>
      <c r="CB69" s="26"/>
      <c r="CC69" s="32">
        <v>3</v>
      </c>
      <c r="CD69" s="33">
        <v>9</v>
      </c>
      <c r="CE69" s="34">
        <v>8</v>
      </c>
      <c r="CF69" s="32">
        <v>6</v>
      </c>
      <c r="CG69" s="33">
        <v>1</v>
      </c>
      <c r="CH69" s="34">
        <v>5</v>
      </c>
      <c r="CI69" s="32">
        <v>4</v>
      </c>
      <c r="CJ69" s="33">
        <v>7</v>
      </c>
      <c r="CK69" s="34">
        <v>2</v>
      </c>
      <c r="CL69" s="26"/>
      <c r="CM69" s="26"/>
      <c r="CN69" s="26"/>
      <c r="CO69" s="26"/>
      <c r="CP69" s="26"/>
      <c r="CQ69" s="26"/>
      <c r="CR69" s="26"/>
      <c r="CS69" s="26"/>
      <c r="CT69" s="26"/>
      <c r="CU69" s="26"/>
      <c r="CV69" s="26"/>
      <c r="CW69" s="26"/>
      <c r="CX69" s="26"/>
      <c r="CY69" s="26"/>
      <c r="CZ69" s="26"/>
    </row>
    <row r="70" spans="1:104" ht="12.75" customHeight="1" thickBot="1" x14ac:dyDescent="0.25">
      <c r="A70" s="106"/>
      <c r="B70" s="106"/>
      <c r="C70" s="106"/>
      <c r="D70" s="106"/>
      <c r="E70" s="181"/>
      <c r="F70" s="170"/>
      <c r="G70" s="170"/>
      <c r="H70" s="170"/>
      <c r="I70" s="170"/>
      <c r="J70" s="174"/>
      <c r="K70" s="181"/>
      <c r="L70" s="170"/>
      <c r="M70" s="170"/>
      <c r="N70" s="170"/>
      <c r="O70" s="199"/>
      <c r="P70" s="184"/>
      <c r="Q70" s="181"/>
      <c r="R70" s="170"/>
      <c r="S70" s="170"/>
      <c r="T70" s="170"/>
      <c r="U70" s="170"/>
      <c r="V70" s="174"/>
      <c r="W70" s="108"/>
      <c r="X70" s="108"/>
      <c r="Y70" s="106"/>
      <c r="Z70" s="113"/>
      <c r="AA70" s="217"/>
      <c r="AB70" s="217"/>
      <c r="AC70" s="217"/>
      <c r="AD70" s="217"/>
      <c r="AE70" s="217"/>
      <c r="AF70" s="217"/>
      <c r="AG70" s="217"/>
      <c r="AH70" s="217"/>
      <c r="AI70" s="217"/>
      <c r="AJ70" s="217"/>
      <c r="AK70" s="217"/>
      <c r="AL70" s="217"/>
      <c r="AM70" s="217"/>
      <c r="AN70" s="217"/>
      <c r="AO70" s="217"/>
      <c r="AP70" s="217"/>
      <c r="AQ70" s="217"/>
      <c r="AR70" s="217"/>
      <c r="AS70" s="217"/>
      <c r="AT70" s="217"/>
      <c r="AU70" s="217"/>
      <c r="AV70" s="217"/>
      <c r="AW70" s="217"/>
      <c r="AX70" s="114"/>
      <c r="AY70" s="38"/>
      <c r="AZ70" s="26"/>
      <c r="BA70" s="26"/>
      <c r="BB70" s="26"/>
      <c r="BC70" s="22">
        <v>1</v>
      </c>
      <c r="BD70" s="22">
        <v>2</v>
      </c>
      <c r="BE70" s="22">
        <v>3</v>
      </c>
      <c r="BF70" s="22">
        <v>4</v>
      </c>
      <c r="BG70" s="22">
        <v>5</v>
      </c>
      <c r="BH70" s="22">
        <v>6</v>
      </c>
      <c r="BI70" s="22">
        <v>7</v>
      </c>
      <c r="BJ70" s="22">
        <v>8</v>
      </c>
      <c r="BK70" s="22">
        <v>9</v>
      </c>
      <c r="BL70" s="26"/>
      <c r="BM70" s="26"/>
      <c r="BN70" s="26"/>
      <c r="BO70" s="26"/>
      <c r="BP70" s="26"/>
      <c r="BQ70" s="26"/>
      <c r="BR70" s="26"/>
      <c r="BS70" s="26"/>
      <c r="BT70" s="26"/>
      <c r="BU70" s="26"/>
      <c r="BV70" s="26"/>
      <c r="BW70" s="26"/>
      <c r="BX70" s="26"/>
      <c r="BY70" s="26"/>
      <c r="BZ70" s="38"/>
      <c r="CA70" s="26"/>
      <c r="CB70" s="26"/>
      <c r="CC70" s="35">
        <v>1</v>
      </c>
      <c r="CD70" s="36">
        <v>2</v>
      </c>
      <c r="CE70" s="37">
        <v>7</v>
      </c>
      <c r="CF70" s="35">
        <v>3</v>
      </c>
      <c r="CG70" s="36">
        <v>4</v>
      </c>
      <c r="CH70" s="37">
        <v>8</v>
      </c>
      <c r="CI70" s="35">
        <v>9</v>
      </c>
      <c r="CJ70" s="36">
        <v>5</v>
      </c>
      <c r="CK70" s="37">
        <v>6</v>
      </c>
      <c r="CL70" s="26"/>
      <c r="CM70" s="26"/>
      <c r="CN70" s="26"/>
      <c r="CO70" s="26"/>
      <c r="CP70" s="26"/>
      <c r="CQ70" s="26"/>
      <c r="CR70" s="26"/>
      <c r="CS70" s="26"/>
      <c r="CT70" s="26"/>
      <c r="CU70" s="26"/>
      <c r="CV70" s="26"/>
      <c r="CW70" s="26"/>
      <c r="CX70" s="26"/>
      <c r="CY70" s="26"/>
      <c r="CZ70" s="26"/>
    </row>
    <row r="71" spans="1:104" ht="12.75" customHeight="1" thickBot="1" x14ac:dyDescent="0.25">
      <c r="A71" s="106"/>
      <c r="B71" s="106"/>
      <c r="C71" s="106"/>
      <c r="D71" s="106"/>
      <c r="E71" s="180"/>
      <c r="F71" s="170"/>
      <c r="G71" s="169"/>
      <c r="H71" s="170"/>
      <c r="I71" s="169">
        <v>7</v>
      </c>
      <c r="J71" s="174"/>
      <c r="K71" s="180">
        <v>5</v>
      </c>
      <c r="L71" s="170"/>
      <c r="M71" s="169">
        <v>1</v>
      </c>
      <c r="N71" s="170"/>
      <c r="O71" s="183"/>
      <c r="P71" s="184"/>
      <c r="Q71" s="180">
        <v>4</v>
      </c>
      <c r="R71" s="170"/>
      <c r="S71" s="169">
        <v>9</v>
      </c>
      <c r="T71" s="170"/>
      <c r="U71" s="169">
        <v>3</v>
      </c>
      <c r="V71" s="174"/>
      <c r="W71" s="108"/>
      <c r="X71" s="108"/>
      <c r="Y71" s="106"/>
      <c r="Z71" s="113"/>
      <c r="AA71" s="217"/>
      <c r="AB71" s="217"/>
      <c r="AC71" s="217"/>
      <c r="AD71" s="217"/>
      <c r="AE71" s="217"/>
      <c r="AF71" s="217"/>
      <c r="AG71" s="217"/>
      <c r="AH71" s="217"/>
      <c r="AI71" s="217"/>
      <c r="AJ71" s="217"/>
      <c r="AK71" s="217"/>
      <c r="AL71" s="217"/>
      <c r="AM71" s="217"/>
      <c r="AN71" s="217"/>
      <c r="AO71" s="217"/>
      <c r="AP71" s="217"/>
      <c r="AQ71" s="217"/>
      <c r="AR71" s="217"/>
      <c r="AS71" s="217"/>
      <c r="AT71" s="217"/>
      <c r="AU71" s="217"/>
      <c r="AV71" s="217"/>
      <c r="AW71" s="217"/>
      <c r="AX71" s="114"/>
      <c r="AY71" s="38"/>
      <c r="AZ71" s="26"/>
      <c r="BA71" s="26"/>
      <c r="BB71" s="22">
        <v>1</v>
      </c>
      <c r="BC71" s="62"/>
      <c r="BD71" s="30"/>
      <c r="BE71" s="31"/>
      <c r="BF71" s="29"/>
      <c r="BG71" s="30"/>
      <c r="BH71" s="31"/>
      <c r="BI71" s="29">
        <v>5</v>
      </c>
      <c r="BJ71" s="30"/>
      <c r="BK71" s="31"/>
      <c r="BL71" s="26"/>
      <c r="BM71" s="27" t="s">
        <v>66</v>
      </c>
      <c r="BN71" s="26"/>
      <c r="BO71" s="26"/>
      <c r="BP71" s="26"/>
      <c r="BQ71" s="26"/>
      <c r="BR71" s="26"/>
      <c r="BS71" s="26"/>
      <c r="BT71" s="26"/>
      <c r="BU71" s="26"/>
      <c r="BV71" s="26"/>
      <c r="BW71" s="26"/>
      <c r="BX71" s="26"/>
      <c r="BY71" s="26"/>
      <c r="BZ71" s="38"/>
      <c r="CA71" s="26"/>
      <c r="CB71" s="26"/>
      <c r="CC71" s="29">
        <v>2</v>
      </c>
      <c r="CD71" s="30">
        <v>7</v>
      </c>
      <c r="CE71" s="31">
        <v>9</v>
      </c>
      <c r="CF71" s="29">
        <v>8</v>
      </c>
      <c r="CG71" s="30">
        <v>5</v>
      </c>
      <c r="CH71" s="31">
        <v>6</v>
      </c>
      <c r="CI71" s="29">
        <v>1</v>
      </c>
      <c r="CJ71" s="30">
        <v>4</v>
      </c>
      <c r="CK71" s="31">
        <v>3</v>
      </c>
      <c r="CL71" s="26"/>
      <c r="CM71" s="26"/>
      <c r="CN71" s="26"/>
      <c r="CO71" s="26"/>
      <c r="CP71" s="26"/>
      <c r="CQ71" s="26"/>
      <c r="CR71" s="26"/>
      <c r="CS71" s="26"/>
      <c r="CT71" s="26"/>
      <c r="CU71" s="26"/>
      <c r="CV71" s="26"/>
      <c r="CW71" s="26"/>
      <c r="CX71" s="26"/>
      <c r="CY71" s="26"/>
      <c r="CZ71" s="26"/>
    </row>
    <row r="72" spans="1:104" ht="12.75" customHeight="1" thickTop="1" thickBot="1" x14ac:dyDescent="0.25">
      <c r="A72" s="106"/>
      <c r="B72" s="106"/>
      <c r="C72" s="106"/>
      <c r="D72" s="106"/>
      <c r="E72" s="181"/>
      <c r="F72" s="170"/>
      <c r="G72" s="170"/>
      <c r="H72" s="170"/>
      <c r="I72" s="170"/>
      <c r="J72" s="174"/>
      <c r="K72" s="181"/>
      <c r="L72" s="170"/>
      <c r="M72" s="170"/>
      <c r="N72" s="170"/>
      <c r="O72" s="199"/>
      <c r="P72" s="184"/>
      <c r="Q72" s="181"/>
      <c r="R72" s="170"/>
      <c r="S72" s="170"/>
      <c r="T72" s="170"/>
      <c r="U72" s="170"/>
      <c r="V72" s="174"/>
      <c r="W72" s="108"/>
      <c r="X72" s="108"/>
      <c r="Y72" s="106"/>
      <c r="Z72" s="113"/>
      <c r="AA72" s="218" t="s">
        <v>116</v>
      </c>
      <c r="AB72" s="218"/>
      <c r="AC72" s="218"/>
      <c r="AD72" s="218"/>
      <c r="AE72" s="218"/>
      <c r="AF72" s="218"/>
      <c r="AG72" s="218"/>
      <c r="AH72" s="218"/>
      <c r="AI72" s="218"/>
      <c r="AJ72" s="218"/>
      <c r="AK72" s="218"/>
      <c r="AL72" s="218"/>
      <c r="AM72" s="218"/>
      <c r="AN72" s="218"/>
      <c r="AO72" s="218"/>
      <c r="AP72" s="218"/>
      <c r="AQ72" s="218"/>
      <c r="AR72" s="218"/>
      <c r="AS72" s="218"/>
      <c r="AT72" s="218"/>
      <c r="AU72" s="218"/>
      <c r="AV72" s="218"/>
      <c r="AW72" s="218"/>
      <c r="AX72" s="114"/>
      <c r="AY72" s="38"/>
      <c r="AZ72" s="26"/>
      <c r="BA72" s="26"/>
      <c r="BB72" s="23">
        <v>2</v>
      </c>
      <c r="BC72" s="64">
        <v>2</v>
      </c>
      <c r="BD72" s="61"/>
      <c r="BE72" s="34">
        <v>7</v>
      </c>
      <c r="BF72" s="32"/>
      <c r="BG72" s="33">
        <v>9</v>
      </c>
      <c r="BH72" s="34">
        <v>3</v>
      </c>
      <c r="BI72" s="32"/>
      <c r="BJ72" s="33"/>
      <c r="BK72" s="34">
        <v>1</v>
      </c>
      <c r="BL72" s="26"/>
      <c r="BM72" s="27" t="s">
        <v>59</v>
      </c>
      <c r="BN72" s="26"/>
      <c r="BO72" s="26"/>
      <c r="BP72" s="26"/>
      <c r="BQ72" s="26"/>
      <c r="BR72" s="16">
        <v>1</v>
      </c>
      <c r="BS72" s="26"/>
      <c r="BT72" s="26"/>
      <c r="BU72" s="26"/>
      <c r="BV72" s="26"/>
      <c r="BW72" s="26"/>
      <c r="BX72" s="26"/>
      <c r="BY72" s="26"/>
      <c r="BZ72" s="38"/>
      <c r="CA72" s="26"/>
      <c r="CB72" s="26"/>
      <c r="CC72" s="32">
        <v>8</v>
      </c>
      <c r="CD72" s="33">
        <v>4</v>
      </c>
      <c r="CE72" s="34">
        <v>3</v>
      </c>
      <c r="CF72" s="32">
        <v>7</v>
      </c>
      <c r="CG72" s="33">
        <v>9</v>
      </c>
      <c r="CH72" s="34">
        <v>1</v>
      </c>
      <c r="CI72" s="32">
        <v>6</v>
      </c>
      <c r="CJ72" s="33">
        <v>2</v>
      </c>
      <c r="CK72" s="34">
        <v>5</v>
      </c>
      <c r="CL72" s="26"/>
      <c r="CM72" s="26"/>
      <c r="CN72" s="26"/>
      <c r="CO72" s="26"/>
      <c r="CP72" s="26"/>
      <c r="CQ72" s="26"/>
      <c r="CR72" s="26"/>
      <c r="CS72" s="26"/>
      <c r="CT72" s="26"/>
      <c r="CU72" s="26"/>
      <c r="CV72" s="26"/>
      <c r="CW72" s="26"/>
      <c r="CX72" s="26"/>
      <c r="CY72" s="26"/>
      <c r="CZ72" s="26"/>
    </row>
    <row r="73" spans="1:104" ht="12.75" customHeight="1" thickTop="1" thickBot="1" x14ac:dyDescent="0.25">
      <c r="A73" s="106"/>
      <c r="B73" s="106"/>
      <c r="C73" s="106"/>
      <c r="D73" s="106"/>
      <c r="E73" s="180">
        <v>9</v>
      </c>
      <c r="F73" s="170"/>
      <c r="G73" s="169">
        <v>5</v>
      </c>
      <c r="H73" s="170"/>
      <c r="I73" s="169">
        <v>4</v>
      </c>
      <c r="J73" s="174"/>
      <c r="K73" s="180"/>
      <c r="L73" s="170"/>
      <c r="M73" s="169"/>
      <c r="N73" s="170"/>
      <c r="O73" s="183">
        <v>2</v>
      </c>
      <c r="P73" s="184"/>
      <c r="Q73" s="180"/>
      <c r="R73" s="170"/>
      <c r="S73" s="169"/>
      <c r="T73" s="170"/>
      <c r="U73" s="169">
        <v>6</v>
      </c>
      <c r="V73" s="174"/>
      <c r="W73" s="108"/>
      <c r="X73" s="108"/>
      <c r="Y73" s="106"/>
      <c r="Z73" s="113"/>
      <c r="AA73" s="218"/>
      <c r="AB73" s="218"/>
      <c r="AC73" s="218"/>
      <c r="AD73" s="218"/>
      <c r="AE73" s="218"/>
      <c r="AF73" s="218"/>
      <c r="AG73" s="218"/>
      <c r="AH73" s="218"/>
      <c r="AI73" s="218"/>
      <c r="AJ73" s="218"/>
      <c r="AK73" s="218"/>
      <c r="AL73" s="218"/>
      <c r="AM73" s="218"/>
      <c r="AN73" s="218"/>
      <c r="AO73" s="218"/>
      <c r="AP73" s="218"/>
      <c r="AQ73" s="218"/>
      <c r="AR73" s="218"/>
      <c r="AS73" s="218"/>
      <c r="AT73" s="218"/>
      <c r="AU73" s="218"/>
      <c r="AV73" s="218"/>
      <c r="AW73" s="218"/>
      <c r="AX73" s="114"/>
      <c r="AY73" s="38"/>
      <c r="AZ73" s="26"/>
      <c r="BA73" s="26"/>
      <c r="BB73" s="22">
        <v>3</v>
      </c>
      <c r="BC73" s="63"/>
      <c r="BD73" s="36"/>
      <c r="BE73" s="37">
        <v>4</v>
      </c>
      <c r="BF73" s="35"/>
      <c r="BG73" s="36"/>
      <c r="BH73" s="37"/>
      <c r="BI73" s="35"/>
      <c r="BJ73" s="36">
        <v>6</v>
      </c>
      <c r="BK73" s="37">
        <v>2</v>
      </c>
      <c r="BL73" s="26"/>
      <c r="BM73" s="27" t="s">
        <v>60</v>
      </c>
      <c r="BN73" s="26"/>
      <c r="BO73" s="26"/>
      <c r="BP73" s="26"/>
      <c r="BQ73" s="26"/>
      <c r="BR73" s="23">
        <v>5</v>
      </c>
      <c r="BS73" s="65" t="s">
        <v>34</v>
      </c>
      <c r="BT73" s="66" t="s">
        <v>34</v>
      </c>
      <c r="BU73" s="26"/>
      <c r="BV73" s="26"/>
      <c r="BW73" s="26"/>
      <c r="BX73" s="26"/>
      <c r="BY73" s="26"/>
      <c r="BZ73" s="38"/>
      <c r="CA73" s="26"/>
      <c r="CB73" s="26"/>
      <c r="CC73" s="35">
        <v>6</v>
      </c>
      <c r="CD73" s="36">
        <v>1</v>
      </c>
      <c r="CE73" s="37">
        <v>5</v>
      </c>
      <c r="CF73" s="35">
        <v>4</v>
      </c>
      <c r="CG73" s="36">
        <v>2</v>
      </c>
      <c r="CH73" s="37">
        <v>3</v>
      </c>
      <c r="CI73" s="35">
        <v>7</v>
      </c>
      <c r="CJ73" s="36">
        <v>8</v>
      </c>
      <c r="CK73" s="37">
        <v>9</v>
      </c>
      <c r="CL73" s="26"/>
      <c r="CM73" s="26"/>
      <c r="CN73" s="26"/>
      <c r="CO73" s="26"/>
      <c r="CP73" s="26"/>
      <c r="CQ73" s="26"/>
      <c r="CR73" s="26"/>
      <c r="CS73" s="26"/>
      <c r="CT73" s="26"/>
      <c r="CU73" s="26"/>
      <c r="CV73" s="26"/>
      <c r="CW73" s="26"/>
      <c r="CX73" s="26"/>
      <c r="CY73" s="26"/>
      <c r="CZ73" s="26"/>
    </row>
    <row r="74" spans="1:104" ht="12.75" customHeight="1" thickBot="1" x14ac:dyDescent="0.25">
      <c r="A74" s="106"/>
      <c r="B74" s="106"/>
      <c r="C74" s="106"/>
      <c r="D74" s="106"/>
      <c r="E74" s="182"/>
      <c r="F74" s="171"/>
      <c r="G74" s="171"/>
      <c r="H74" s="171"/>
      <c r="I74" s="171"/>
      <c r="J74" s="175"/>
      <c r="K74" s="182"/>
      <c r="L74" s="171"/>
      <c r="M74" s="171"/>
      <c r="N74" s="171"/>
      <c r="O74" s="185"/>
      <c r="P74" s="186"/>
      <c r="Q74" s="182"/>
      <c r="R74" s="171"/>
      <c r="S74" s="171"/>
      <c r="T74" s="171"/>
      <c r="U74" s="171"/>
      <c r="V74" s="175"/>
      <c r="W74" s="108"/>
      <c r="X74" s="108"/>
      <c r="Y74" s="106"/>
      <c r="Z74" s="113"/>
      <c r="AA74" s="218"/>
      <c r="AB74" s="218"/>
      <c r="AC74" s="218"/>
      <c r="AD74" s="218"/>
      <c r="AE74" s="218"/>
      <c r="AF74" s="218"/>
      <c r="AG74" s="218"/>
      <c r="AH74" s="218"/>
      <c r="AI74" s="218"/>
      <c r="AJ74" s="218"/>
      <c r="AK74" s="218"/>
      <c r="AL74" s="218"/>
      <c r="AM74" s="218"/>
      <c r="AN74" s="218"/>
      <c r="AO74" s="218"/>
      <c r="AP74" s="218"/>
      <c r="AQ74" s="218"/>
      <c r="AR74" s="218"/>
      <c r="AS74" s="218"/>
      <c r="AT74" s="218"/>
      <c r="AU74" s="218"/>
      <c r="AV74" s="218"/>
      <c r="AW74" s="218"/>
      <c r="AX74" s="114"/>
      <c r="AY74" s="38"/>
      <c r="AZ74" s="26"/>
      <c r="BA74" s="26"/>
      <c r="BB74" s="22">
        <v>4</v>
      </c>
      <c r="BC74" s="29"/>
      <c r="BD74" s="30"/>
      <c r="BE74" s="31"/>
      <c r="BF74" s="29">
        <v>2</v>
      </c>
      <c r="BG74" s="30"/>
      <c r="BH74" s="31">
        <v>4</v>
      </c>
      <c r="BI74" s="29"/>
      <c r="BJ74" s="30">
        <v>1</v>
      </c>
      <c r="BK74" s="31">
        <v>8</v>
      </c>
      <c r="BL74" s="26"/>
      <c r="BM74" s="26"/>
      <c r="BN74" s="26"/>
      <c r="BO74" s="26"/>
      <c r="BP74" s="26"/>
      <c r="BQ74" s="26"/>
      <c r="BR74" s="67" t="s">
        <v>34</v>
      </c>
      <c r="BS74" s="68" t="s">
        <v>34</v>
      </c>
      <c r="BT74" s="69"/>
      <c r="BU74" s="26"/>
      <c r="BV74" s="26"/>
      <c r="BW74" s="26"/>
      <c r="BX74" s="26"/>
      <c r="BY74" s="26"/>
      <c r="BZ74" s="38"/>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row>
    <row r="75" spans="1:104" ht="12.75" customHeight="1" thickBot="1" x14ac:dyDescent="0.3">
      <c r="A75" s="106"/>
      <c r="B75" s="106"/>
      <c r="C75" s="106"/>
      <c r="D75" s="106"/>
      <c r="E75" s="108"/>
      <c r="F75" s="108"/>
      <c r="G75" s="108"/>
      <c r="H75" s="108"/>
      <c r="I75" s="108"/>
      <c r="J75" s="108"/>
      <c r="K75" s="108"/>
      <c r="L75" s="108"/>
      <c r="M75" s="108"/>
      <c r="N75" s="108"/>
      <c r="O75" s="108"/>
      <c r="P75" s="108"/>
      <c r="Q75" s="108"/>
      <c r="R75" s="108"/>
      <c r="S75" s="108"/>
      <c r="T75" s="108"/>
      <c r="U75" s="108"/>
      <c r="V75" s="108"/>
      <c r="W75" s="108"/>
      <c r="X75" s="108"/>
      <c r="Y75" s="106"/>
      <c r="Z75" s="113"/>
      <c r="AA75" s="121"/>
      <c r="AB75" s="121"/>
      <c r="AC75" s="121"/>
      <c r="AD75" s="121"/>
      <c r="AE75" s="121"/>
      <c r="AF75" s="155" t="s">
        <v>114</v>
      </c>
      <c r="AG75" s="26"/>
      <c r="AH75" s="26"/>
      <c r="AI75" s="26"/>
      <c r="AJ75" s="26"/>
      <c r="AK75" s="26"/>
      <c r="AL75" s="26"/>
      <c r="AM75" s="26"/>
      <c r="AN75" s="26"/>
      <c r="AO75" s="26"/>
      <c r="AP75" s="121"/>
      <c r="AQ75" s="121"/>
      <c r="AR75" s="121"/>
      <c r="AS75" s="121"/>
      <c r="AT75" s="121"/>
      <c r="AU75" s="121"/>
      <c r="AV75" s="121"/>
      <c r="AW75" s="121"/>
      <c r="AX75" s="114"/>
      <c r="AY75" s="38"/>
      <c r="AZ75" s="26"/>
      <c r="BA75" s="26"/>
      <c r="BB75" s="22">
        <v>5</v>
      </c>
      <c r="BC75" s="32">
        <v>1</v>
      </c>
      <c r="BD75" s="33"/>
      <c r="BE75" s="34"/>
      <c r="BF75" s="32"/>
      <c r="BG75" s="33"/>
      <c r="BH75" s="34"/>
      <c r="BI75" s="32"/>
      <c r="BJ75" s="33"/>
      <c r="BK75" s="34">
        <v>3</v>
      </c>
      <c r="BL75" s="26"/>
      <c r="BM75" s="26"/>
      <c r="BN75" s="26"/>
      <c r="BO75" s="26"/>
      <c r="BP75" s="26"/>
      <c r="BQ75" s="26"/>
      <c r="BR75" s="70"/>
      <c r="BS75" s="71" t="s">
        <v>34</v>
      </c>
      <c r="BT75" s="72" t="s">
        <v>34</v>
      </c>
      <c r="BU75" s="26"/>
      <c r="BV75" s="26"/>
      <c r="BW75" s="26"/>
      <c r="BX75" s="26"/>
      <c r="BY75" s="26"/>
      <c r="BZ75" s="38"/>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row>
    <row r="76" spans="1:104" ht="12.75" customHeight="1" thickTop="1" thickBot="1" x14ac:dyDescent="0.25">
      <c r="A76" s="108"/>
      <c r="B76" s="108" t="s">
        <v>75</v>
      </c>
      <c r="C76" s="106"/>
      <c r="D76" s="106"/>
      <c r="E76" s="108"/>
      <c r="F76" s="108"/>
      <c r="G76" s="108"/>
      <c r="H76" s="108"/>
      <c r="I76" s="108"/>
      <c r="J76" s="108"/>
      <c r="K76" s="108"/>
      <c r="L76" s="108"/>
      <c r="M76" s="108"/>
      <c r="N76" s="95">
        <v>4</v>
      </c>
      <c r="O76" s="96">
        <v>1</v>
      </c>
      <c r="P76" s="98">
        <v>2</v>
      </c>
      <c r="Q76" s="95"/>
      <c r="R76" s="96"/>
      <c r="S76" s="97"/>
      <c r="T76" s="99">
        <v>6</v>
      </c>
      <c r="U76" s="96">
        <v>8</v>
      </c>
      <c r="V76" s="97">
        <v>7</v>
      </c>
      <c r="W76" s="108"/>
      <c r="X76" s="108"/>
      <c r="Y76" s="106"/>
      <c r="Z76" s="113"/>
      <c r="AA76" s="121"/>
      <c r="AB76" s="121"/>
      <c r="AC76" s="121"/>
      <c r="AD76" s="121"/>
      <c r="AE76" s="121"/>
      <c r="AF76" s="26"/>
      <c r="AG76" s="22">
        <v>1</v>
      </c>
      <c r="AH76" s="22">
        <v>2</v>
      </c>
      <c r="AI76" s="22">
        <v>3</v>
      </c>
      <c r="AJ76" s="22">
        <v>4</v>
      </c>
      <c r="AK76" s="22">
        <v>5</v>
      </c>
      <c r="AL76" s="22">
        <v>6</v>
      </c>
      <c r="AM76" s="22">
        <v>7</v>
      </c>
      <c r="AN76" s="22">
        <v>8</v>
      </c>
      <c r="AO76" s="22">
        <v>9</v>
      </c>
      <c r="AP76" s="121"/>
      <c r="AQ76" s="121"/>
      <c r="AR76" s="121"/>
      <c r="AS76" s="121"/>
      <c r="AT76" s="121"/>
      <c r="AU76" s="121"/>
      <c r="AV76" s="121"/>
      <c r="AW76" s="121"/>
      <c r="AX76" s="114"/>
      <c r="AY76" s="38"/>
      <c r="AZ76" s="26"/>
      <c r="BA76" s="26"/>
      <c r="BB76" s="22">
        <v>6</v>
      </c>
      <c r="BC76" s="35">
        <v>6</v>
      </c>
      <c r="BD76" s="36"/>
      <c r="BE76" s="37"/>
      <c r="BF76" s="35">
        <v>1</v>
      </c>
      <c r="BG76" s="36"/>
      <c r="BH76" s="37">
        <v>5</v>
      </c>
      <c r="BI76" s="35"/>
      <c r="BJ76" s="36"/>
      <c r="BK76" s="37"/>
      <c r="BL76" s="26"/>
      <c r="BM76" s="27" t="s">
        <v>68</v>
      </c>
      <c r="BN76" s="26"/>
      <c r="BO76" s="26"/>
      <c r="BP76" s="26"/>
      <c r="BQ76" s="26"/>
      <c r="BR76" s="26"/>
      <c r="BS76" s="26"/>
      <c r="BT76" s="26"/>
      <c r="BU76" s="26"/>
      <c r="BV76" s="26"/>
      <c r="BW76" s="26"/>
      <c r="BX76" s="26"/>
      <c r="BY76" s="26"/>
      <c r="BZ76" s="38"/>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row>
    <row r="77" spans="1:104" ht="12.75" customHeight="1" thickTop="1" thickBot="1" x14ac:dyDescent="0.25">
      <c r="A77" s="108"/>
      <c r="B77" s="108" t="s">
        <v>76</v>
      </c>
      <c r="C77" s="108"/>
      <c r="D77" s="108"/>
      <c r="E77" s="108"/>
      <c r="F77" s="108"/>
      <c r="G77" s="108"/>
      <c r="H77" s="100"/>
      <c r="I77" s="108"/>
      <c r="J77" s="108" t="s">
        <v>77</v>
      </c>
      <c r="K77" s="108"/>
      <c r="L77" s="108"/>
      <c r="M77" s="108"/>
      <c r="N77" s="108"/>
      <c r="O77" s="108"/>
      <c r="P77" s="108"/>
      <c r="Q77" s="108"/>
      <c r="R77" s="108"/>
      <c r="S77" s="108"/>
      <c r="T77" s="108"/>
      <c r="U77" s="108"/>
      <c r="V77" s="108"/>
      <c r="W77" s="108"/>
      <c r="X77" s="108"/>
      <c r="Y77" s="106"/>
      <c r="Z77" s="113"/>
      <c r="AA77" s="121"/>
      <c r="AB77" s="154" t="s">
        <v>113</v>
      </c>
      <c r="AC77" s="121"/>
      <c r="AD77" s="121"/>
      <c r="AE77" s="121"/>
      <c r="AF77" s="22">
        <v>1</v>
      </c>
      <c r="AG77" s="62"/>
      <c r="AH77" s="30"/>
      <c r="AI77" s="31"/>
      <c r="AJ77" s="29"/>
      <c r="AK77" s="30"/>
      <c r="AL77" s="31"/>
      <c r="AM77" s="29"/>
      <c r="AN77" s="30"/>
      <c r="AO77" s="31"/>
      <c r="AP77" s="121"/>
      <c r="AQ77" s="121"/>
      <c r="AR77" s="121"/>
      <c r="AS77" s="121"/>
      <c r="AT77" s="121"/>
      <c r="AU77" s="121"/>
      <c r="AV77" s="121"/>
      <c r="AW77" s="121"/>
      <c r="AX77" s="114"/>
      <c r="AY77" s="38"/>
      <c r="AZ77" s="26"/>
      <c r="BA77" s="26"/>
      <c r="BB77" s="23">
        <v>7</v>
      </c>
      <c r="BC77" s="29">
        <v>5</v>
      </c>
      <c r="BD77" s="30">
        <v>9</v>
      </c>
      <c r="BE77" s="31"/>
      <c r="BF77" s="29"/>
      <c r="BG77" s="30"/>
      <c r="BH77" s="31"/>
      <c r="BI77" s="29">
        <v>2</v>
      </c>
      <c r="BJ77" s="30"/>
      <c r="BK77" s="31"/>
      <c r="BL77" s="26"/>
      <c r="BM77" s="27" t="s">
        <v>67</v>
      </c>
      <c r="BN77" s="26"/>
      <c r="BO77" s="26"/>
      <c r="BP77" s="26"/>
      <c r="BQ77" s="26"/>
      <c r="BR77" s="26"/>
      <c r="BS77" s="26"/>
      <c r="BT77" s="26"/>
      <c r="BU77" s="26"/>
      <c r="BV77" s="26"/>
      <c r="BW77" s="26"/>
      <c r="BX77" s="26"/>
      <c r="BY77" s="26"/>
      <c r="BZ77" s="38"/>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row>
    <row r="78" spans="1:104" ht="12.75" customHeight="1" thickTop="1" thickBot="1" x14ac:dyDescent="0.25">
      <c r="A78" s="108"/>
      <c r="B78" s="108"/>
      <c r="C78" s="108"/>
      <c r="D78" s="108"/>
      <c r="E78" s="108"/>
      <c r="F78" s="108"/>
      <c r="G78" s="108"/>
      <c r="H78" s="101">
        <v>5</v>
      </c>
      <c r="I78" s="108"/>
      <c r="J78" s="86">
        <v>6</v>
      </c>
      <c r="K78" s="87">
        <v>7</v>
      </c>
      <c r="L78" s="88">
        <v>1</v>
      </c>
      <c r="M78" s="108"/>
      <c r="N78" s="108"/>
      <c r="O78" s="108"/>
      <c r="P78" s="108"/>
      <c r="Q78" s="108"/>
      <c r="R78" s="108"/>
      <c r="S78" s="108"/>
      <c r="T78" s="108"/>
      <c r="U78" s="108"/>
      <c r="V78" s="108"/>
      <c r="W78" s="108"/>
      <c r="X78" s="108"/>
      <c r="Y78" s="106"/>
      <c r="Z78" s="113"/>
      <c r="AA78" s="121"/>
      <c r="AB78" s="121"/>
      <c r="AC78" s="121"/>
      <c r="AD78" s="121"/>
      <c r="AE78" s="121"/>
      <c r="AF78" s="23">
        <v>2</v>
      </c>
      <c r="AG78" s="32"/>
      <c r="AH78" s="61"/>
      <c r="AI78" s="34"/>
      <c r="AJ78" s="32"/>
      <c r="AK78" s="33"/>
      <c r="AL78" s="34"/>
      <c r="AM78" s="32"/>
      <c r="AN78" s="33"/>
      <c r="AO78" s="34"/>
      <c r="AP78" s="121"/>
      <c r="AQ78" s="121"/>
      <c r="AR78" s="121"/>
      <c r="AS78" s="121"/>
      <c r="AT78" s="121"/>
      <c r="AU78" s="121"/>
      <c r="AV78" s="121"/>
      <c r="AW78" s="121"/>
      <c r="AX78" s="114"/>
      <c r="AY78" s="38"/>
      <c r="AZ78" s="26"/>
      <c r="BA78" s="26"/>
      <c r="BB78" s="23">
        <v>8</v>
      </c>
      <c r="BC78" s="32">
        <v>4</v>
      </c>
      <c r="BD78" s="33"/>
      <c r="BE78" s="34"/>
      <c r="BF78" s="32">
        <v>8</v>
      </c>
      <c r="BG78" s="33"/>
      <c r="BH78" s="34"/>
      <c r="BI78" s="32">
        <v>1</v>
      </c>
      <c r="BJ78" s="33">
        <v>5</v>
      </c>
      <c r="BK78" s="34"/>
      <c r="BL78" s="26"/>
      <c r="BM78" s="26"/>
      <c r="BN78" s="78"/>
      <c r="BO78" s="79"/>
      <c r="BP78" s="79"/>
      <c r="BQ78" s="79"/>
      <c r="BR78" s="79"/>
      <c r="BS78" s="79"/>
      <c r="BT78" s="79"/>
      <c r="BU78" s="79"/>
      <c r="BV78" s="79"/>
      <c r="BW78" s="79"/>
      <c r="BX78" s="80"/>
      <c r="BY78" s="26"/>
      <c r="BZ78" s="38"/>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row>
    <row r="79" spans="1:104" ht="12.75" customHeight="1" thickBot="1" x14ac:dyDescent="0.25">
      <c r="A79" s="108"/>
      <c r="B79" s="108"/>
      <c r="C79" s="108"/>
      <c r="D79" s="108"/>
      <c r="E79" s="108"/>
      <c r="F79" s="108"/>
      <c r="G79" s="108"/>
      <c r="H79" s="103">
        <v>9</v>
      </c>
      <c r="I79" s="108"/>
      <c r="J79" s="89"/>
      <c r="K79" s="90"/>
      <c r="L79" s="91"/>
      <c r="M79" s="108"/>
      <c r="N79" s="108"/>
      <c r="O79" s="108"/>
      <c r="P79" s="108"/>
      <c r="Q79" s="108"/>
      <c r="R79" s="108"/>
      <c r="S79" s="108"/>
      <c r="T79" s="108"/>
      <c r="U79" s="108"/>
      <c r="V79" s="108"/>
      <c r="W79" s="108"/>
      <c r="X79" s="108"/>
      <c r="Y79" s="106"/>
      <c r="Z79" s="113"/>
      <c r="AA79" s="121"/>
      <c r="AB79" s="121"/>
      <c r="AC79" s="121"/>
      <c r="AD79" s="121"/>
      <c r="AE79" s="121"/>
      <c r="AF79" s="22">
        <v>3</v>
      </c>
      <c r="AG79" s="63"/>
      <c r="AH79" s="36"/>
      <c r="AI79" s="37"/>
      <c r="AJ79" s="35"/>
      <c r="AK79" s="36"/>
      <c r="AL79" s="37"/>
      <c r="AM79" s="35"/>
      <c r="AN79" s="36"/>
      <c r="AO79" s="37"/>
      <c r="AP79" s="121"/>
      <c r="AQ79" s="121"/>
      <c r="AR79" s="121"/>
      <c r="AS79" s="121"/>
      <c r="AT79" s="121"/>
      <c r="AU79" s="121"/>
      <c r="AV79" s="121"/>
      <c r="AW79" s="121"/>
      <c r="AX79" s="114"/>
      <c r="AY79" s="38"/>
      <c r="AZ79" s="26"/>
      <c r="BA79" s="26"/>
      <c r="BB79" s="24">
        <v>9</v>
      </c>
      <c r="BC79" s="35"/>
      <c r="BD79" s="36"/>
      <c r="BE79" s="37">
        <v>6</v>
      </c>
      <c r="BF79" s="35"/>
      <c r="BG79" s="36"/>
      <c r="BH79" s="37"/>
      <c r="BI79" s="35"/>
      <c r="BJ79" s="36"/>
      <c r="BK79" s="37"/>
      <c r="BL79" s="26"/>
      <c r="BM79" s="26"/>
      <c r="BN79" s="78"/>
      <c r="BO79" s="29"/>
      <c r="BP79" s="30"/>
      <c r="BQ79" s="31"/>
      <c r="BR79" s="29"/>
      <c r="BS79" s="30"/>
      <c r="BT79" s="31"/>
      <c r="BU79" s="29">
        <v>5</v>
      </c>
      <c r="BV79" s="30"/>
      <c r="BW79" s="31"/>
      <c r="BX79" s="80"/>
      <c r="BY79" s="26"/>
      <c r="BZ79" s="38"/>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row>
    <row r="80" spans="1:104" ht="12.75" customHeight="1" thickTop="1" thickBot="1" x14ac:dyDescent="0.25">
      <c r="A80" s="108"/>
      <c r="B80" s="108"/>
      <c r="C80" s="108"/>
      <c r="D80" s="108"/>
      <c r="E80" s="108"/>
      <c r="F80" s="108"/>
      <c r="G80" s="108"/>
      <c r="H80" s="100">
        <v>1</v>
      </c>
      <c r="I80" s="108"/>
      <c r="J80" s="92"/>
      <c r="K80" s="93">
        <v>2</v>
      </c>
      <c r="L80" s="94">
        <v>8</v>
      </c>
      <c r="M80" s="108" t="s">
        <v>78</v>
      </c>
      <c r="N80" s="108"/>
      <c r="O80" s="108"/>
      <c r="P80" s="108"/>
      <c r="Q80" s="108"/>
      <c r="R80" s="108"/>
      <c r="S80" s="108"/>
      <c r="T80" s="108"/>
      <c r="U80" s="108"/>
      <c r="V80" s="108"/>
      <c r="W80" s="108"/>
      <c r="X80" s="108"/>
      <c r="Y80" s="106"/>
      <c r="Z80" s="113"/>
      <c r="AA80" s="121"/>
      <c r="AB80" s="121"/>
      <c r="AC80" s="121"/>
      <c r="AD80" s="121"/>
      <c r="AE80" s="121"/>
      <c r="AF80" s="22">
        <v>4</v>
      </c>
      <c r="AG80" s="29"/>
      <c r="AH80" s="30"/>
      <c r="AI80" s="31"/>
      <c r="AJ80" s="29"/>
      <c r="AK80" s="30"/>
      <c r="AL80" s="31"/>
      <c r="AM80" s="29"/>
      <c r="AN80" s="30"/>
      <c r="AO80" s="31"/>
      <c r="AP80" s="121"/>
      <c r="AQ80" s="121"/>
      <c r="AR80" s="121"/>
      <c r="AS80" s="121"/>
      <c r="AT80" s="121"/>
      <c r="AU80" s="121"/>
      <c r="AV80" s="121"/>
      <c r="AW80" s="121"/>
      <c r="AX80" s="114"/>
      <c r="AY80" s="38"/>
      <c r="AZ80" s="26"/>
      <c r="BA80" s="26"/>
      <c r="BB80" s="26"/>
      <c r="BC80" s="26"/>
      <c r="BD80" s="26"/>
      <c r="BE80" s="26"/>
      <c r="BF80" s="26"/>
      <c r="BG80" s="26"/>
      <c r="BH80" s="26"/>
      <c r="BI80" s="26"/>
      <c r="BJ80" s="26"/>
      <c r="BK80" s="26"/>
      <c r="BL80" s="26"/>
      <c r="BM80" s="26"/>
      <c r="BN80" s="78"/>
      <c r="BO80" s="32"/>
      <c r="BP80" s="33">
        <v>5</v>
      </c>
      <c r="BQ80" s="34">
        <v>7</v>
      </c>
      <c r="BR80" s="32"/>
      <c r="BS80" s="33">
        <v>9</v>
      </c>
      <c r="BT80" s="34">
        <v>3</v>
      </c>
      <c r="BU80" s="32"/>
      <c r="BV80" s="33"/>
      <c r="BW80" s="34">
        <v>1</v>
      </c>
      <c r="BX80" s="80"/>
      <c r="BY80" s="26"/>
      <c r="BZ80" s="38"/>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row>
    <row r="81" spans="1:104" ht="12.75" customHeight="1" thickTop="1" thickBot="1" x14ac:dyDescent="0.25">
      <c r="A81" s="108"/>
      <c r="B81" s="108"/>
      <c r="C81" s="108"/>
      <c r="D81" s="108"/>
      <c r="E81" s="108"/>
      <c r="F81" s="108"/>
      <c r="G81" s="108"/>
      <c r="H81" s="101"/>
      <c r="I81" s="108"/>
      <c r="J81" s="108"/>
      <c r="K81" s="108"/>
      <c r="L81" s="108"/>
      <c r="M81" s="108" t="s">
        <v>127</v>
      </c>
      <c r="N81" s="108"/>
      <c r="O81" s="108"/>
      <c r="P81" s="108"/>
      <c r="Q81" s="108"/>
      <c r="R81" s="108"/>
      <c r="S81" s="108"/>
      <c r="T81" s="108"/>
      <c r="U81" s="108"/>
      <c r="V81" s="108"/>
      <c r="W81" s="108"/>
      <c r="X81" s="108"/>
      <c r="Y81" s="106"/>
      <c r="Z81" s="113"/>
      <c r="AA81" s="121"/>
      <c r="AB81" s="121"/>
      <c r="AC81" s="121"/>
      <c r="AD81" s="121"/>
      <c r="AE81" s="121"/>
      <c r="AF81" s="22">
        <v>5</v>
      </c>
      <c r="AG81" s="32"/>
      <c r="AH81" s="33"/>
      <c r="AI81" s="34"/>
      <c r="AJ81" s="32"/>
      <c r="AK81" s="33"/>
      <c r="AL81" s="34"/>
      <c r="AM81" s="32"/>
      <c r="AN81" s="33"/>
      <c r="AO81" s="34"/>
      <c r="AP81" s="121"/>
      <c r="AQ81" s="121"/>
      <c r="AR81" s="121"/>
      <c r="AS81" s="121"/>
      <c r="AT81" s="121"/>
      <c r="AU81" s="121"/>
      <c r="AV81" s="121"/>
      <c r="AW81" s="121"/>
      <c r="AX81" s="114"/>
      <c r="AY81" s="38"/>
      <c r="AZ81" s="26"/>
      <c r="BA81" s="26"/>
      <c r="BB81" s="26"/>
      <c r="BC81" s="26"/>
      <c r="BD81" s="26"/>
      <c r="BE81" s="26"/>
      <c r="BF81" s="26"/>
      <c r="BG81" s="26"/>
      <c r="BH81" s="26"/>
      <c r="BI81" s="26"/>
      <c r="BJ81" s="26"/>
      <c r="BK81" s="26"/>
      <c r="BL81" s="26"/>
      <c r="BM81" s="26"/>
      <c r="BN81" s="78"/>
      <c r="BO81" s="35"/>
      <c r="BP81" s="36"/>
      <c r="BQ81" s="37">
        <v>4</v>
      </c>
      <c r="BR81" s="35">
        <v>5</v>
      </c>
      <c r="BS81" s="36"/>
      <c r="BT81" s="37"/>
      <c r="BU81" s="35"/>
      <c r="BV81" s="36">
        <v>6</v>
      </c>
      <c r="BW81" s="37">
        <v>2</v>
      </c>
      <c r="BX81" s="80"/>
      <c r="BY81" s="26"/>
      <c r="BZ81" s="38"/>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row>
    <row r="82" spans="1:104" ht="12.75" customHeight="1" thickBot="1" x14ac:dyDescent="0.25">
      <c r="A82" s="108"/>
      <c r="B82" s="108"/>
      <c r="C82" s="108"/>
      <c r="D82" s="108"/>
      <c r="E82" s="108"/>
      <c r="F82" s="108"/>
      <c r="G82" s="108"/>
      <c r="H82" s="102">
        <v>8</v>
      </c>
      <c r="I82" s="108"/>
      <c r="J82" s="108"/>
      <c r="K82" s="108"/>
      <c r="L82" s="108"/>
      <c r="M82" s="108"/>
      <c r="N82" s="108"/>
      <c r="O82" s="108"/>
      <c r="P82" s="108"/>
      <c r="Q82" s="108"/>
      <c r="R82" s="108"/>
      <c r="S82" s="108"/>
      <c r="T82" s="108"/>
      <c r="U82" s="108"/>
      <c r="V82" s="108"/>
      <c r="W82" s="108"/>
      <c r="X82" s="108"/>
      <c r="Y82" s="106"/>
      <c r="Z82" s="113"/>
      <c r="AA82" s="121"/>
      <c r="AB82" s="121"/>
      <c r="AC82" s="121"/>
      <c r="AD82" s="121"/>
      <c r="AE82" s="121"/>
      <c r="AF82" s="22">
        <v>6</v>
      </c>
      <c r="AG82" s="35"/>
      <c r="AH82" s="36"/>
      <c r="AI82" s="37"/>
      <c r="AJ82" s="35"/>
      <c r="AK82" s="36"/>
      <c r="AL82" s="37"/>
      <c r="AM82" s="35"/>
      <c r="AN82" s="36"/>
      <c r="AO82" s="37"/>
      <c r="AP82" s="121"/>
      <c r="AQ82" s="121"/>
      <c r="AR82" s="121"/>
      <c r="AS82" s="121"/>
      <c r="AT82" s="121"/>
      <c r="AU82" s="121"/>
      <c r="AV82" s="121"/>
      <c r="AW82" s="121"/>
      <c r="AX82" s="114"/>
      <c r="AY82" s="38"/>
      <c r="AZ82" s="26"/>
      <c r="BA82" s="26"/>
      <c r="BB82" s="26"/>
      <c r="BC82" s="26"/>
      <c r="BD82" s="26"/>
      <c r="BE82" s="26"/>
      <c r="BF82" s="26"/>
      <c r="BG82" s="26"/>
      <c r="BH82" s="26"/>
      <c r="BI82" s="26"/>
      <c r="BJ82" s="26"/>
      <c r="BK82" s="26"/>
      <c r="BL82" s="26"/>
      <c r="BM82" s="26"/>
      <c r="BN82" s="78"/>
      <c r="BO82" s="29"/>
      <c r="BP82" s="30"/>
      <c r="BQ82" s="31">
        <v>5</v>
      </c>
      <c r="BR82" s="29">
        <v>2</v>
      </c>
      <c r="BS82" s="30"/>
      <c r="BT82" s="31">
        <v>4</v>
      </c>
      <c r="BU82" s="29"/>
      <c r="BV82" s="30">
        <v>1</v>
      </c>
      <c r="BW82" s="31">
        <v>8</v>
      </c>
      <c r="BX82" s="80"/>
      <c r="BY82" s="26"/>
      <c r="BZ82" s="38"/>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row>
    <row r="83" spans="1:104" ht="12.75" customHeight="1" thickTop="1" x14ac:dyDescent="0.2">
      <c r="A83" s="106"/>
      <c r="B83" s="106"/>
      <c r="C83" s="106"/>
      <c r="D83" s="106"/>
      <c r="E83" s="108"/>
      <c r="F83" s="108"/>
      <c r="G83" s="108"/>
      <c r="H83" s="104"/>
      <c r="I83" s="108"/>
      <c r="J83" s="108"/>
      <c r="K83" s="108"/>
      <c r="L83" s="108"/>
      <c r="M83" s="108"/>
      <c r="N83" s="108"/>
      <c r="O83" s="108"/>
      <c r="P83" s="108"/>
      <c r="Q83" s="108"/>
      <c r="R83" s="108"/>
      <c r="S83" s="108"/>
      <c r="T83" s="108"/>
      <c r="U83" s="108"/>
      <c r="V83" s="108"/>
      <c r="W83" s="108"/>
      <c r="X83" s="108"/>
      <c r="Y83" s="106"/>
      <c r="Z83" s="113"/>
      <c r="AA83" s="121"/>
      <c r="AB83" s="121"/>
      <c r="AC83" s="121"/>
      <c r="AD83" s="121"/>
      <c r="AE83" s="121"/>
      <c r="AF83" s="23">
        <v>7</v>
      </c>
      <c r="AG83" s="29"/>
      <c r="AH83" s="30"/>
      <c r="AI83" s="31"/>
      <c r="AJ83" s="29"/>
      <c r="AK83" s="30"/>
      <c r="AL83" s="31"/>
      <c r="AM83" s="29"/>
      <c r="AN83" s="30"/>
      <c r="AO83" s="31"/>
      <c r="AP83" s="121"/>
      <c r="AQ83" s="121"/>
      <c r="AR83" s="121"/>
      <c r="AS83" s="121"/>
      <c r="AT83" s="121"/>
      <c r="AU83" s="121"/>
      <c r="AV83" s="121"/>
      <c r="AW83" s="121"/>
      <c r="AX83" s="114"/>
      <c r="AY83" s="38"/>
      <c r="AZ83" s="26"/>
      <c r="BA83" s="26"/>
      <c r="BB83" s="26"/>
      <c r="BC83" s="26"/>
      <c r="BD83" s="26"/>
      <c r="BE83" s="26"/>
      <c r="BF83" s="26"/>
      <c r="BG83" s="26"/>
      <c r="BH83" s="26"/>
      <c r="BI83" s="26"/>
      <c r="BJ83" s="26"/>
      <c r="BK83" s="26"/>
      <c r="BL83" s="26"/>
      <c r="BM83" s="26"/>
      <c r="BN83" s="78"/>
      <c r="BO83" s="32">
        <v>1</v>
      </c>
      <c r="BP83" s="33"/>
      <c r="BQ83" s="34"/>
      <c r="BR83" s="32"/>
      <c r="BS83" s="33"/>
      <c r="BT83" s="34"/>
      <c r="BU83" s="32"/>
      <c r="BV83" s="33">
        <v>5</v>
      </c>
      <c r="BW83" s="34">
        <v>3</v>
      </c>
      <c r="BX83" s="80"/>
      <c r="BY83" s="26"/>
      <c r="BZ83" s="38"/>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row>
    <row r="84" spans="1:104" ht="12.75" customHeight="1" thickBot="1" x14ac:dyDescent="0.25">
      <c r="A84" s="106"/>
      <c r="B84" s="106"/>
      <c r="C84" s="106"/>
      <c r="D84" s="106"/>
      <c r="E84" s="108"/>
      <c r="F84" s="108"/>
      <c r="G84" s="108"/>
      <c r="H84" s="101"/>
      <c r="I84" s="108"/>
      <c r="J84" s="108"/>
      <c r="K84" s="108"/>
      <c r="L84" s="108"/>
      <c r="M84" s="108"/>
      <c r="N84" s="108"/>
      <c r="O84" s="108"/>
      <c r="P84" s="108"/>
      <c r="Q84" s="108"/>
      <c r="R84" s="108"/>
      <c r="S84" s="108"/>
      <c r="T84" s="108"/>
      <c r="U84" s="108"/>
      <c r="V84" s="108"/>
      <c r="W84" s="108"/>
      <c r="X84" s="108"/>
      <c r="Y84" s="106"/>
      <c r="Z84" s="113"/>
      <c r="AA84" s="121"/>
      <c r="AB84" s="121"/>
      <c r="AC84" s="121"/>
      <c r="AD84" s="121"/>
      <c r="AE84" s="121"/>
      <c r="AF84" s="23">
        <v>8</v>
      </c>
      <c r="AG84" s="32"/>
      <c r="AH84" s="33"/>
      <c r="AI84" s="34"/>
      <c r="AJ84" s="32"/>
      <c r="AK84" s="33"/>
      <c r="AL84" s="34"/>
      <c r="AM84" s="32"/>
      <c r="AN84" s="33"/>
      <c r="AO84" s="34"/>
      <c r="AP84" s="121"/>
      <c r="AQ84" s="121"/>
      <c r="AR84" s="121"/>
      <c r="AS84" s="121"/>
      <c r="AT84" s="121"/>
      <c r="AU84" s="121"/>
      <c r="AV84" s="121"/>
      <c r="AW84" s="121"/>
      <c r="AX84" s="114"/>
      <c r="AY84" s="38"/>
      <c r="AZ84" s="26"/>
      <c r="BA84" s="26"/>
      <c r="BB84" s="26"/>
      <c r="BC84" s="26"/>
      <c r="BD84" s="26"/>
      <c r="BE84" s="26"/>
      <c r="BF84" s="26"/>
      <c r="BG84" s="26"/>
      <c r="BH84" s="26"/>
      <c r="BI84" s="26"/>
      <c r="BJ84" s="26"/>
      <c r="BK84" s="26"/>
      <c r="BL84" s="26"/>
      <c r="BM84" s="26"/>
      <c r="BN84" s="78"/>
      <c r="BO84" s="35">
        <v>6</v>
      </c>
      <c r="BP84" s="36"/>
      <c r="BQ84" s="37"/>
      <c r="BR84" s="35">
        <v>1</v>
      </c>
      <c r="BS84" s="36"/>
      <c r="BT84" s="37">
        <v>5</v>
      </c>
      <c r="BU84" s="35"/>
      <c r="BV84" s="36">
        <v>2</v>
      </c>
      <c r="BW84" s="37"/>
      <c r="BX84" s="80"/>
      <c r="BY84" s="26"/>
      <c r="BZ84" s="38"/>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row>
    <row r="85" spans="1:104" ht="12.75" customHeight="1" thickBot="1" x14ac:dyDescent="0.25">
      <c r="A85" s="106"/>
      <c r="B85" s="106"/>
      <c r="C85" s="106"/>
      <c r="D85" s="106"/>
      <c r="E85" s="108"/>
      <c r="F85" s="108"/>
      <c r="G85" s="108"/>
      <c r="H85" s="102">
        <v>2</v>
      </c>
      <c r="I85" s="108"/>
      <c r="J85" s="108"/>
      <c r="K85" s="108"/>
      <c r="L85" s="108"/>
      <c r="M85" s="108"/>
      <c r="N85" s="108"/>
      <c r="O85" s="108"/>
      <c r="P85" s="108"/>
      <c r="Q85" s="108"/>
      <c r="R85" s="108"/>
      <c r="S85" s="108"/>
      <c r="T85" s="108"/>
      <c r="U85" s="108"/>
      <c r="V85" s="108"/>
      <c r="W85" s="108"/>
      <c r="X85" s="108"/>
      <c r="Y85" s="106"/>
      <c r="Z85" s="113"/>
      <c r="AA85" s="121"/>
      <c r="AB85" s="121"/>
      <c r="AC85" s="121"/>
      <c r="AD85" s="121"/>
      <c r="AE85" s="121"/>
      <c r="AF85" s="24">
        <v>9</v>
      </c>
      <c r="AG85" s="35"/>
      <c r="AH85" s="36"/>
      <c r="AI85" s="37"/>
      <c r="AJ85" s="35"/>
      <c r="AK85" s="36"/>
      <c r="AL85" s="37"/>
      <c r="AM85" s="35"/>
      <c r="AN85" s="36"/>
      <c r="AO85" s="37"/>
      <c r="AP85" s="121"/>
      <c r="AQ85" s="121"/>
      <c r="AR85" s="121"/>
      <c r="AS85" s="121"/>
      <c r="AT85" s="121"/>
      <c r="AU85" s="121"/>
      <c r="AV85" s="121"/>
      <c r="AW85" s="121"/>
      <c r="AX85" s="114"/>
      <c r="AY85" s="38"/>
      <c r="AZ85" s="26"/>
      <c r="BA85" s="26"/>
      <c r="BB85" s="26"/>
      <c r="BC85" s="26"/>
      <c r="BD85" s="26"/>
      <c r="BE85" s="26"/>
      <c r="BF85" s="26"/>
      <c r="BG85" s="26"/>
      <c r="BH85" s="26"/>
      <c r="BI85" s="26"/>
      <c r="BJ85" s="26"/>
      <c r="BK85" s="26"/>
      <c r="BL85" s="26"/>
      <c r="BM85" s="26"/>
      <c r="BN85" s="78"/>
      <c r="BO85" s="29">
        <v>5</v>
      </c>
      <c r="BP85" s="30">
        <v>9</v>
      </c>
      <c r="BQ85" s="31"/>
      <c r="BR85" s="29"/>
      <c r="BS85" s="30"/>
      <c r="BT85" s="31"/>
      <c r="BU85" s="29">
        <v>2</v>
      </c>
      <c r="BV85" s="30"/>
      <c r="BW85" s="31"/>
      <c r="BX85" s="80"/>
      <c r="BY85" s="26"/>
      <c r="BZ85" s="38"/>
      <c r="CA85" s="26"/>
      <c r="CB85" s="26"/>
      <c r="CC85" s="26"/>
      <c r="CD85" s="26"/>
      <c r="CE85" s="26"/>
      <c r="CF85" s="26"/>
      <c r="CG85" s="26"/>
      <c r="CH85" s="26"/>
      <c r="CI85" s="26"/>
      <c r="CJ85" s="26"/>
      <c r="CK85" s="26"/>
      <c r="CL85" s="26"/>
      <c r="CM85" s="26"/>
      <c r="CN85" s="26"/>
      <c r="CO85" s="26"/>
      <c r="CP85" s="26"/>
      <c r="CQ85" s="26"/>
      <c r="CR85" s="26"/>
      <c r="CS85" s="26"/>
      <c r="CT85" s="26"/>
      <c r="CU85" s="26"/>
      <c r="CV85" s="26"/>
      <c r="CW85" s="26"/>
      <c r="CX85" s="26"/>
      <c r="CY85" s="26"/>
      <c r="CZ85" s="26"/>
    </row>
    <row r="86" spans="1:104" ht="12.75" customHeight="1" thickTop="1" x14ac:dyDescent="0.2">
      <c r="A86" s="106"/>
      <c r="B86" s="106"/>
      <c r="C86" s="106"/>
      <c r="D86" s="106"/>
      <c r="E86" s="108"/>
      <c r="F86" s="108"/>
      <c r="G86" s="108"/>
      <c r="H86" s="108"/>
      <c r="I86" s="108"/>
      <c r="J86" s="108"/>
      <c r="K86" s="108"/>
      <c r="L86" s="108"/>
      <c r="M86" s="108"/>
      <c r="N86" s="108"/>
      <c r="O86" s="108"/>
      <c r="P86" s="108"/>
      <c r="Q86" s="108"/>
      <c r="R86" s="108"/>
      <c r="S86" s="108"/>
      <c r="T86" s="108"/>
      <c r="U86" s="108"/>
      <c r="V86" s="108"/>
      <c r="W86" s="108"/>
      <c r="X86" s="108"/>
      <c r="Y86" s="106"/>
      <c r="Z86" s="113"/>
      <c r="AA86" s="121"/>
      <c r="AB86" s="121"/>
      <c r="AC86" s="121"/>
      <c r="AD86" s="121"/>
      <c r="AE86" s="121"/>
      <c r="AF86" s="121"/>
      <c r="AG86" s="121"/>
      <c r="AH86" s="121"/>
      <c r="AI86" s="121"/>
      <c r="AJ86" s="121"/>
      <c r="AK86" s="121"/>
      <c r="AL86" s="121"/>
      <c r="AM86" s="121"/>
      <c r="AN86" s="121"/>
      <c r="AO86" s="121"/>
      <c r="AP86" s="121"/>
      <c r="AQ86" s="121"/>
      <c r="AR86" s="121"/>
      <c r="AS86" s="121"/>
      <c r="AT86" s="121"/>
      <c r="AU86" s="121"/>
      <c r="AV86" s="121"/>
      <c r="AW86" s="121"/>
      <c r="AX86" s="114"/>
      <c r="AY86" s="38"/>
      <c r="AZ86" s="26"/>
      <c r="BA86" s="26"/>
      <c r="BB86" s="26"/>
      <c r="BC86" s="26"/>
      <c r="BD86" s="26"/>
      <c r="BE86" s="26"/>
      <c r="BF86" s="26"/>
      <c r="BG86" s="26"/>
      <c r="BH86" s="26"/>
      <c r="BI86" s="26"/>
      <c r="BJ86" s="26"/>
      <c r="BK86" s="26"/>
      <c r="BL86" s="26"/>
      <c r="BM86" s="26"/>
      <c r="BN86" s="78"/>
      <c r="BO86" s="32">
        <v>4</v>
      </c>
      <c r="BP86" s="33"/>
      <c r="BQ86" s="34"/>
      <c r="BR86" s="32">
        <v>8</v>
      </c>
      <c r="BS86" s="33">
        <v>7</v>
      </c>
      <c r="BT86" s="34"/>
      <c r="BU86" s="32">
        <v>1</v>
      </c>
      <c r="BV86" s="33"/>
      <c r="BW86" s="34">
        <v>5</v>
      </c>
      <c r="BX86" s="80"/>
      <c r="BY86" s="26"/>
      <c r="BZ86" s="38"/>
      <c r="CA86" s="26"/>
      <c r="CB86" s="26"/>
      <c r="CC86" s="26"/>
      <c r="CD86" s="26"/>
      <c r="CE86" s="26"/>
      <c r="CF86" s="26"/>
      <c r="CG86" s="26"/>
      <c r="CH86" s="26"/>
      <c r="CI86" s="26"/>
      <c r="CJ86" s="26"/>
      <c r="CK86" s="26"/>
      <c r="CL86" s="26"/>
      <c r="CM86" s="26"/>
      <c r="CN86" s="26"/>
      <c r="CO86" s="26"/>
      <c r="CP86" s="26"/>
      <c r="CQ86" s="26"/>
      <c r="CR86" s="26"/>
      <c r="CS86" s="26"/>
      <c r="CT86" s="26"/>
      <c r="CU86" s="26"/>
      <c r="CV86" s="26"/>
      <c r="CW86" s="26"/>
      <c r="CX86" s="26"/>
      <c r="CY86" s="26"/>
      <c r="CZ86" s="26"/>
    </row>
    <row r="87" spans="1:104" ht="12.75" customHeight="1" thickBot="1" x14ac:dyDescent="0.25">
      <c r="A87" s="106"/>
      <c r="B87" s="106"/>
      <c r="C87" s="106"/>
      <c r="D87" s="106"/>
      <c r="E87" s="108"/>
      <c r="F87" s="108"/>
      <c r="G87" s="108"/>
      <c r="H87" s="108"/>
      <c r="I87" s="108"/>
      <c r="J87" s="108"/>
      <c r="K87" s="108"/>
      <c r="L87" s="108"/>
      <c r="M87" s="108"/>
      <c r="N87" s="108"/>
      <c r="O87" s="108"/>
      <c r="P87" s="108"/>
      <c r="Q87" s="108"/>
      <c r="R87" s="108"/>
      <c r="S87" s="108"/>
      <c r="T87" s="108"/>
      <c r="U87" s="108"/>
      <c r="V87" s="108"/>
      <c r="W87" s="108"/>
      <c r="X87" s="108"/>
      <c r="Y87" s="108"/>
      <c r="Z87" s="118"/>
      <c r="AA87" s="119"/>
      <c r="AB87" s="119"/>
      <c r="AC87" s="119"/>
      <c r="AD87" s="119"/>
      <c r="AE87" s="119"/>
      <c r="AF87" s="119"/>
      <c r="AG87" s="119"/>
      <c r="AH87" s="119"/>
      <c r="AI87" s="119"/>
      <c r="AJ87" s="119"/>
      <c r="AK87" s="119"/>
      <c r="AL87" s="119"/>
      <c r="AM87" s="119"/>
      <c r="AN87" s="119"/>
      <c r="AO87" s="119"/>
      <c r="AP87" s="119"/>
      <c r="AQ87" s="119"/>
      <c r="AR87" s="119"/>
      <c r="AS87" s="119"/>
      <c r="AT87" s="119"/>
      <c r="AU87" s="119"/>
      <c r="AV87" s="119"/>
      <c r="AW87" s="119"/>
      <c r="AX87" s="120"/>
      <c r="AY87" s="38"/>
      <c r="AZ87" s="26"/>
      <c r="BA87" s="26"/>
      <c r="BB87" s="26"/>
      <c r="BC87" s="26"/>
      <c r="BD87" s="26"/>
      <c r="BE87" s="26"/>
      <c r="BF87" s="26"/>
      <c r="BG87" s="26"/>
      <c r="BH87" s="26"/>
      <c r="BI87" s="26"/>
      <c r="BJ87" s="26"/>
      <c r="BK87" s="26"/>
      <c r="BL87" s="26"/>
      <c r="BM87" s="26"/>
      <c r="BN87" s="78"/>
      <c r="BO87" s="35"/>
      <c r="BP87" s="36"/>
      <c r="BQ87" s="37"/>
      <c r="BR87" s="35"/>
      <c r="BS87" s="36">
        <v>5</v>
      </c>
      <c r="BT87" s="37"/>
      <c r="BU87" s="35"/>
      <c r="BV87" s="36"/>
      <c r="BW87" s="37"/>
      <c r="BX87" s="80"/>
      <c r="BY87" s="26"/>
      <c r="BZ87" s="38"/>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row>
    <row r="88" spans="1:104" ht="12.75" customHeight="1" x14ac:dyDescent="0.2">
      <c r="A88" s="105"/>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9"/>
      <c r="Z88" s="38"/>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78"/>
      <c r="BO88" s="79"/>
      <c r="BP88" s="79"/>
      <c r="BQ88" s="79"/>
      <c r="BR88" s="79"/>
      <c r="BS88" s="79"/>
      <c r="BT88" s="79"/>
      <c r="BU88" s="79"/>
      <c r="BV88" s="79"/>
      <c r="BW88" s="79"/>
      <c r="BX88" s="80"/>
      <c r="BY88" s="26"/>
      <c r="BZ88" s="38"/>
      <c r="CA88" s="26"/>
      <c r="CB88" s="26"/>
      <c r="CC88" s="26"/>
      <c r="CD88" s="26"/>
      <c r="CE88" s="26"/>
      <c r="CF88" s="26"/>
      <c r="CG88" s="26"/>
      <c r="CH88" s="26"/>
      <c r="CI88" s="26"/>
      <c r="CJ88" s="26"/>
      <c r="CK88" s="26"/>
      <c r="CL88" s="26"/>
      <c r="CM88" s="26"/>
      <c r="CN88" s="26"/>
      <c r="CO88" s="26"/>
      <c r="CP88" s="26"/>
      <c r="CQ88" s="26"/>
      <c r="CR88" s="26"/>
      <c r="CS88" s="26"/>
      <c r="CT88" s="26"/>
      <c r="CU88" s="26"/>
      <c r="CV88" s="26"/>
      <c r="CW88" s="26"/>
      <c r="CX88" s="26"/>
      <c r="CY88" s="26"/>
      <c r="CZ88" s="26"/>
    </row>
    <row r="89" spans="1:104" ht="12.75" customHeight="1" x14ac:dyDescent="0.2">
      <c r="A89" s="108"/>
      <c r="B89" s="108"/>
      <c r="C89" s="108"/>
      <c r="D89" s="108"/>
      <c r="E89" s="108"/>
      <c r="F89" s="108"/>
      <c r="G89" s="108"/>
      <c r="H89" s="108"/>
      <c r="I89" s="108"/>
      <c r="J89" s="108"/>
      <c r="K89" s="108"/>
      <c r="L89" s="108"/>
      <c r="M89" s="108"/>
      <c r="N89" s="108"/>
      <c r="O89" s="108"/>
      <c r="P89" s="108"/>
      <c r="Q89" s="108"/>
      <c r="R89" s="108"/>
      <c r="S89" s="108"/>
      <c r="T89" s="108"/>
      <c r="U89" s="108"/>
      <c r="V89" s="108"/>
      <c r="W89" s="108"/>
      <c r="X89" s="108"/>
      <c r="Y89" s="106"/>
      <c r="Z89" s="38"/>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38"/>
      <c r="CA89" s="26"/>
      <c r="CB89" s="26"/>
      <c r="CC89" s="26"/>
      <c r="CD89" s="26"/>
      <c r="CE89" s="26"/>
      <c r="CF89" s="26"/>
      <c r="CG89" s="26"/>
      <c r="CH89" s="26"/>
      <c r="CI89" s="26"/>
      <c r="CJ89" s="26"/>
      <c r="CK89" s="26"/>
      <c r="CL89" s="26"/>
      <c r="CM89" s="26"/>
      <c r="CN89" s="26"/>
      <c r="CO89" s="26"/>
      <c r="CP89" s="26"/>
      <c r="CQ89" s="26"/>
      <c r="CR89" s="26"/>
      <c r="CS89" s="26"/>
      <c r="CT89" s="26"/>
      <c r="CU89" s="26"/>
      <c r="CV89" s="26"/>
      <c r="CW89" s="26"/>
      <c r="CX89" s="26"/>
      <c r="CY89" s="26"/>
      <c r="CZ89" s="26"/>
    </row>
    <row r="90" spans="1:104" ht="12.75" customHeight="1" x14ac:dyDescent="0.2">
      <c r="A90" s="107"/>
      <c r="B90" s="107" t="s">
        <v>93</v>
      </c>
      <c r="C90" s="106"/>
      <c r="D90" s="106"/>
      <c r="E90" s="106"/>
      <c r="F90" s="106"/>
      <c r="G90" s="106"/>
      <c r="H90" s="106"/>
      <c r="I90" s="106"/>
      <c r="J90" s="106"/>
      <c r="K90" s="106"/>
      <c r="L90" s="106"/>
      <c r="M90" s="106"/>
      <c r="N90" s="106"/>
      <c r="O90" s="106"/>
      <c r="P90" s="108"/>
      <c r="Q90" s="108"/>
      <c r="R90" s="108"/>
      <c r="S90" s="108"/>
      <c r="T90" s="108"/>
      <c r="U90" s="108"/>
      <c r="V90" s="108"/>
      <c r="W90" s="108"/>
      <c r="X90" s="108"/>
      <c r="Y90" s="106"/>
      <c r="Z90" s="38"/>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7" t="s">
        <v>69</v>
      </c>
      <c r="BN90" s="26"/>
      <c r="BO90" s="26"/>
      <c r="BP90" s="26"/>
      <c r="BQ90" s="26"/>
      <c r="BR90" s="26"/>
      <c r="BS90" s="26"/>
      <c r="BT90" s="26"/>
      <c r="BU90" s="26"/>
      <c r="BV90" s="26"/>
      <c r="BW90" s="26"/>
      <c r="BX90" s="26"/>
      <c r="BY90" s="26"/>
      <c r="BZ90" s="38"/>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row>
    <row r="91" spans="1:104" ht="12.75" customHeight="1" thickBot="1" x14ac:dyDescent="0.25">
      <c r="A91" s="108"/>
      <c r="B91" s="108"/>
      <c r="C91" s="108"/>
      <c r="D91" s="108"/>
      <c r="E91" s="108"/>
      <c r="F91" s="108"/>
      <c r="G91" s="108"/>
      <c r="H91" s="108"/>
      <c r="I91" s="108"/>
      <c r="J91" s="108"/>
      <c r="K91" s="108"/>
      <c r="L91" s="108"/>
      <c r="M91" s="108"/>
      <c r="N91" s="108"/>
      <c r="O91" s="108"/>
      <c r="P91" s="108"/>
      <c r="Q91" s="108"/>
      <c r="R91" s="108"/>
      <c r="S91" s="108"/>
      <c r="T91" s="108"/>
      <c r="U91" s="108"/>
      <c r="V91" s="108"/>
      <c r="W91" s="108"/>
      <c r="X91" s="108"/>
      <c r="Y91" s="106"/>
      <c r="Z91" s="38"/>
      <c r="AA91" s="26"/>
      <c r="AB91" s="26"/>
      <c r="AC91" s="26"/>
      <c r="AD91" s="26"/>
      <c r="AE91" s="26"/>
      <c r="AF91" s="26"/>
      <c r="AG91" s="26"/>
      <c r="AH91" s="26"/>
      <c r="AI91" s="26"/>
      <c r="AJ91" s="27" t="s">
        <v>72</v>
      </c>
      <c r="AK91" s="26"/>
      <c r="AL91" s="26"/>
      <c r="AM91" s="26"/>
      <c r="AN91" s="26"/>
      <c r="AO91" s="26"/>
      <c r="AP91" s="26"/>
      <c r="AQ91" s="26"/>
      <c r="AR91" s="26"/>
      <c r="AS91" s="26"/>
      <c r="AT91" s="26"/>
      <c r="AU91" s="26"/>
      <c r="AV91" s="26"/>
      <c r="AW91" s="26"/>
      <c r="AX91" s="26"/>
      <c r="AY91" s="38"/>
      <c r="AZ91" s="26"/>
      <c r="BA91" s="26"/>
      <c r="BB91" s="26"/>
      <c r="BC91" s="26"/>
      <c r="BD91" s="26"/>
      <c r="BE91" s="26"/>
      <c r="BF91" s="26"/>
      <c r="BG91" s="26"/>
      <c r="BH91" s="26"/>
      <c r="BI91" s="26"/>
      <c r="BJ91" s="26"/>
      <c r="BK91" s="26"/>
      <c r="BL91" s="26"/>
      <c r="BM91" s="27" t="s">
        <v>70</v>
      </c>
      <c r="BN91" s="26"/>
      <c r="BO91" s="26"/>
      <c r="BP91" s="26"/>
      <c r="BQ91" s="26"/>
      <c r="BR91" s="26"/>
      <c r="BS91" s="26"/>
      <c r="BT91" s="26"/>
      <c r="BU91" s="26"/>
      <c r="BV91" s="26"/>
      <c r="BW91" s="26"/>
      <c r="BX91" s="26"/>
      <c r="BY91" s="26"/>
      <c r="BZ91" s="38"/>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row>
    <row r="92" spans="1:104" ht="12.75" customHeight="1" x14ac:dyDescent="0.2">
      <c r="A92" s="108"/>
      <c r="B92" s="108"/>
      <c r="C92" s="108"/>
      <c r="D92" s="108"/>
      <c r="E92" s="200">
        <v>1</v>
      </c>
      <c r="F92" s="179"/>
      <c r="G92" s="172">
        <v>2</v>
      </c>
      <c r="H92" s="179"/>
      <c r="I92" s="172">
        <v>3</v>
      </c>
      <c r="J92" s="173"/>
      <c r="K92" s="108"/>
      <c r="L92" s="108"/>
      <c r="M92" s="108"/>
      <c r="N92" s="108"/>
      <c r="O92" s="108"/>
      <c r="P92" s="108"/>
      <c r="Q92" s="108"/>
      <c r="R92" s="108"/>
      <c r="S92" s="108"/>
      <c r="T92" s="108"/>
      <c r="U92" s="108"/>
      <c r="V92" s="108"/>
      <c r="W92" s="108"/>
      <c r="X92" s="108"/>
      <c r="Y92" s="106"/>
      <c r="Z92" s="38"/>
      <c r="AA92" s="26"/>
      <c r="AB92" s="26"/>
      <c r="AC92" s="26"/>
      <c r="AD92" s="26"/>
      <c r="AE92" s="26"/>
      <c r="AF92" s="26"/>
      <c r="AG92" s="26"/>
      <c r="AH92" s="26"/>
      <c r="AI92" s="26"/>
      <c r="AJ92" s="85"/>
      <c r="AK92" s="85" t="s">
        <v>0</v>
      </c>
      <c r="AL92" s="85" t="s">
        <v>1</v>
      </c>
      <c r="AM92" s="85" t="s">
        <v>2</v>
      </c>
      <c r="AN92" s="85" t="s">
        <v>3</v>
      </c>
      <c r="AO92" s="85" t="s">
        <v>4</v>
      </c>
      <c r="AP92" s="85" t="s">
        <v>5</v>
      </c>
      <c r="AQ92" s="85" t="s">
        <v>6</v>
      </c>
      <c r="AR92" s="85" t="s">
        <v>7</v>
      </c>
      <c r="AS92" s="85" t="s">
        <v>8</v>
      </c>
      <c r="AT92" s="85" t="s">
        <v>9</v>
      </c>
      <c r="AU92" s="85" t="s">
        <v>10</v>
      </c>
      <c r="AV92" s="85" t="s">
        <v>11</v>
      </c>
      <c r="AW92" s="85" t="s">
        <v>12</v>
      </c>
      <c r="AX92" s="85" t="s">
        <v>13</v>
      </c>
      <c r="AY92" s="85" t="s">
        <v>14</v>
      </c>
      <c r="AZ92" s="85" t="s">
        <v>15</v>
      </c>
      <c r="BA92" s="85" t="s">
        <v>16</v>
      </c>
      <c r="BB92" s="85" t="s">
        <v>17</v>
      </c>
      <c r="BC92" s="85" t="s">
        <v>18</v>
      </c>
      <c r="BD92" s="85" t="s">
        <v>19</v>
      </c>
      <c r="BE92" s="85" t="s">
        <v>20</v>
      </c>
      <c r="BF92" s="85" t="s">
        <v>21</v>
      </c>
      <c r="BG92" s="85" t="s">
        <v>22</v>
      </c>
      <c r="BH92" s="85" t="s">
        <v>23</v>
      </c>
      <c r="BI92" s="85" t="s">
        <v>24</v>
      </c>
      <c r="BJ92" s="85" t="s">
        <v>25</v>
      </c>
      <c r="BK92" s="85" t="s">
        <v>26</v>
      </c>
      <c r="BL92" s="26"/>
      <c r="BM92" s="27" t="s">
        <v>71</v>
      </c>
      <c r="BN92" s="26"/>
      <c r="BO92" s="26"/>
      <c r="BP92" s="26"/>
      <c r="BQ92" s="26"/>
      <c r="BR92" s="26"/>
      <c r="BS92" s="26"/>
      <c r="BT92" s="26"/>
      <c r="BU92" s="26"/>
      <c r="BV92" s="26"/>
      <c r="BW92" s="26"/>
      <c r="BX92" s="26"/>
      <c r="BY92" s="26"/>
      <c r="BZ92" s="38"/>
      <c r="CA92" s="26"/>
      <c r="CB92" s="26"/>
      <c r="CC92" s="26"/>
      <c r="CD92" s="26"/>
      <c r="CE92" s="26"/>
      <c r="CF92" s="26"/>
      <c r="CG92" s="26"/>
      <c r="CH92" s="26"/>
      <c r="CI92" s="26"/>
      <c r="CJ92" s="26"/>
      <c r="CK92" s="26"/>
      <c r="CL92" s="26"/>
      <c r="CM92" s="26"/>
      <c r="CN92" s="26"/>
      <c r="CO92" s="26"/>
      <c r="CP92" s="26"/>
      <c r="CQ92" s="26"/>
      <c r="CR92" s="26"/>
      <c r="CS92" s="26"/>
      <c r="CT92" s="26"/>
      <c r="CU92" s="26"/>
      <c r="CV92" s="26"/>
      <c r="CW92" s="26"/>
      <c r="CX92" s="26"/>
      <c r="CY92" s="26"/>
      <c r="CZ92" s="26"/>
    </row>
    <row r="93" spans="1:104" ht="12.75" customHeight="1" x14ac:dyDescent="0.2">
      <c r="A93" s="108"/>
      <c r="B93" s="108"/>
      <c r="C93" s="108"/>
      <c r="D93" s="108"/>
      <c r="E93" s="181"/>
      <c r="F93" s="170"/>
      <c r="G93" s="170"/>
      <c r="H93" s="170"/>
      <c r="I93" s="170"/>
      <c r="J93" s="174"/>
      <c r="K93" s="108"/>
      <c r="L93" s="108"/>
      <c r="M93" s="108"/>
      <c r="N93" s="108"/>
      <c r="O93" s="108"/>
      <c r="P93" s="108"/>
      <c r="Q93" s="108"/>
      <c r="R93" s="108"/>
      <c r="S93" s="108"/>
      <c r="T93" s="108"/>
      <c r="U93" s="108"/>
      <c r="V93" s="108"/>
      <c r="W93" s="108"/>
      <c r="X93" s="108"/>
      <c r="Y93" s="106"/>
      <c r="Z93" s="38"/>
      <c r="AA93" s="26"/>
      <c r="AB93" s="26"/>
      <c r="AC93" s="26"/>
      <c r="AD93" s="26"/>
      <c r="AE93" s="26"/>
      <c r="AF93" s="26"/>
      <c r="AG93" s="26"/>
      <c r="AH93" s="26"/>
      <c r="AI93" s="26"/>
      <c r="AJ93" s="85">
        <v>1</v>
      </c>
      <c r="AK93" s="12">
        <v>1</v>
      </c>
      <c r="AL93" s="12">
        <v>1</v>
      </c>
      <c r="AM93" s="12">
        <v>1</v>
      </c>
      <c r="AN93" s="12">
        <v>1</v>
      </c>
      <c r="AO93" s="12">
        <v>1</v>
      </c>
      <c r="AP93" s="12">
        <v>1</v>
      </c>
      <c r="AQ93" s="12">
        <v>1</v>
      </c>
      <c r="AR93" s="12">
        <v>1</v>
      </c>
      <c r="AS93" s="12">
        <v>1</v>
      </c>
      <c r="AT93" s="12">
        <v>1</v>
      </c>
      <c r="AU93" s="12">
        <v>1</v>
      </c>
      <c r="AV93" s="12">
        <v>1</v>
      </c>
      <c r="AW93" s="12">
        <v>1</v>
      </c>
      <c r="AX93" s="12">
        <v>1</v>
      </c>
      <c r="AY93" s="12">
        <v>1</v>
      </c>
      <c r="AZ93" s="12">
        <v>1</v>
      </c>
      <c r="BA93" s="12">
        <v>1</v>
      </c>
      <c r="BB93" s="12">
        <v>1</v>
      </c>
      <c r="BC93" s="12">
        <v>1</v>
      </c>
      <c r="BD93" s="12">
        <v>1</v>
      </c>
      <c r="BE93" s="12">
        <v>1</v>
      </c>
      <c r="BF93" s="12">
        <v>1</v>
      </c>
      <c r="BG93" s="12">
        <v>1</v>
      </c>
      <c r="BH93" s="12">
        <v>1</v>
      </c>
      <c r="BI93" s="12">
        <v>1</v>
      </c>
      <c r="BJ93" s="12">
        <v>1</v>
      </c>
      <c r="BK93" s="12">
        <v>1</v>
      </c>
      <c r="BL93" s="26"/>
      <c r="BM93" s="26"/>
      <c r="BN93" s="26"/>
      <c r="BO93" s="26"/>
      <c r="BP93" s="26"/>
      <c r="BQ93" s="26"/>
      <c r="BR93" s="26"/>
      <c r="BS93" s="26"/>
      <c r="BT93" s="26"/>
      <c r="BU93" s="26"/>
      <c r="BV93" s="26"/>
      <c r="BW93" s="26"/>
      <c r="BX93" s="26"/>
      <c r="BY93" s="26"/>
      <c r="BZ93" s="38"/>
      <c r="CA93" s="26"/>
      <c r="CB93" s="26"/>
      <c r="CC93" s="26"/>
      <c r="CD93" s="26"/>
      <c r="CE93" s="26"/>
      <c r="CF93" s="26"/>
      <c r="CG93" s="26"/>
      <c r="CH93" s="26"/>
      <c r="CI93" s="26"/>
      <c r="CJ93" s="26"/>
      <c r="CK93" s="26"/>
      <c r="CL93" s="26"/>
      <c r="CM93" s="26"/>
      <c r="CN93" s="26"/>
      <c r="CO93" s="26"/>
      <c r="CP93" s="26"/>
      <c r="CQ93" s="26"/>
      <c r="CR93" s="26"/>
      <c r="CS93" s="26"/>
      <c r="CT93" s="26"/>
      <c r="CU93" s="26"/>
      <c r="CV93" s="26"/>
      <c r="CW93" s="26"/>
      <c r="CX93" s="26"/>
      <c r="CY93" s="26"/>
      <c r="CZ93" s="26"/>
    </row>
    <row r="94" spans="1:104" ht="12.75" customHeight="1" thickBot="1" x14ac:dyDescent="0.25">
      <c r="A94" s="108"/>
      <c r="B94" s="108"/>
      <c r="C94" s="108"/>
      <c r="D94" s="108"/>
      <c r="E94" s="180">
        <v>4</v>
      </c>
      <c r="F94" s="170"/>
      <c r="G94" s="169">
        <v>5</v>
      </c>
      <c r="H94" s="170"/>
      <c r="I94" s="169">
        <v>6</v>
      </c>
      <c r="J94" s="174"/>
      <c r="K94" s="108"/>
      <c r="L94" s="108"/>
      <c r="M94" s="108"/>
      <c r="N94" s="108"/>
      <c r="O94" s="108"/>
      <c r="P94" s="108"/>
      <c r="Q94" s="108"/>
      <c r="R94" s="108"/>
      <c r="S94" s="108"/>
      <c r="T94" s="108"/>
      <c r="U94" s="108"/>
      <c r="V94" s="108"/>
      <c r="W94" s="108"/>
      <c r="X94" s="108"/>
      <c r="Y94" s="106"/>
      <c r="Z94" s="38"/>
      <c r="AA94" s="26"/>
      <c r="AB94" s="26"/>
      <c r="AC94" s="26"/>
      <c r="AD94" s="26"/>
      <c r="AE94" s="26"/>
      <c r="AF94" s="26"/>
      <c r="AG94" s="26"/>
      <c r="AH94" s="26"/>
      <c r="AI94" s="27"/>
      <c r="AJ94" s="85">
        <v>2</v>
      </c>
      <c r="AK94" s="12">
        <v>1</v>
      </c>
      <c r="AL94" s="12">
        <v>1</v>
      </c>
      <c r="AM94" s="12">
        <v>1</v>
      </c>
      <c r="AN94" s="12">
        <v>1</v>
      </c>
      <c r="AO94" s="12">
        <v>1</v>
      </c>
      <c r="AP94" s="12">
        <v>1</v>
      </c>
      <c r="AQ94" s="12">
        <v>1</v>
      </c>
      <c r="AR94" s="12">
        <v>1</v>
      </c>
      <c r="AS94" s="12">
        <v>1</v>
      </c>
      <c r="AT94" s="12">
        <v>1</v>
      </c>
      <c r="AU94" s="12">
        <v>1</v>
      </c>
      <c r="AV94" s="12">
        <v>1</v>
      </c>
      <c r="AW94" s="12">
        <v>1</v>
      </c>
      <c r="AX94" s="12">
        <v>1</v>
      </c>
      <c r="AY94" s="12">
        <v>1</v>
      </c>
      <c r="AZ94" s="12">
        <v>1</v>
      </c>
      <c r="BA94" s="12">
        <v>1</v>
      </c>
      <c r="BB94" s="12">
        <v>1</v>
      </c>
      <c r="BC94" s="12">
        <v>1</v>
      </c>
      <c r="BD94" s="12">
        <v>1</v>
      </c>
      <c r="BE94" s="12">
        <v>1</v>
      </c>
      <c r="BF94" s="12">
        <v>1</v>
      </c>
      <c r="BG94" s="12">
        <v>1</v>
      </c>
      <c r="BH94" s="12">
        <v>1</v>
      </c>
      <c r="BI94" s="12">
        <v>1</v>
      </c>
      <c r="BJ94" s="12">
        <v>1</v>
      </c>
      <c r="BK94" s="12">
        <v>1</v>
      </c>
      <c r="BL94" s="26"/>
      <c r="BM94" s="28" t="s">
        <v>73</v>
      </c>
      <c r="BN94" s="26"/>
      <c r="BO94" s="26"/>
      <c r="BP94" s="26"/>
      <c r="BQ94" s="26"/>
      <c r="BR94" s="26"/>
      <c r="BS94" s="26"/>
      <c r="BT94" s="26"/>
      <c r="BU94" s="26"/>
      <c r="BV94" s="26"/>
      <c r="BW94" s="26"/>
      <c r="BX94" s="26"/>
      <c r="BY94" s="26"/>
      <c r="BZ94" s="38"/>
      <c r="CA94" s="26"/>
      <c r="CB94" s="26"/>
      <c r="CC94" s="26"/>
      <c r="CD94" s="26"/>
      <c r="CE94" s="26"/>
      <c r="CF94" s="26"/>
      <c r="CG94" s="26"/>
      <c r="CH94" s="26"/>
      <c r="CI94" s="26"/>
      <c r="CJ94" s="26"/>
      <c r="CK94" s="26"/>
      <c r="CL94" s="26"/>
      <c r="CM94" s="26"/>
      <c r="CN94" s="26"/>
      <c r="CO94" s="26"/>
      <c r="CP94" s="26"/>
      <c r="CQ94" s="26"/>
      <c r="CR94" s="26"/>
      <c r="CS94" s="26"/>
      <c r="CT94" s="26"/>
      <c r="CU94" s="26"/>
      <c r="CV94" s="26"/>
      <c r="CW94" s="26"/>
      <c r="CX94" s="26"/>
      <c r="CY94" s="26"/>
      <c r="CZ94" s="26"/>
    </row>
    <row r="95" spans="1:104" ht="12.75" customHeight="1" x14ac:dyDescent="0.2">
      <c r="A95" s="108"/>
      <c r="B95" s="108"/>
      <c r="C95" s="108"/>
      <c r="D95" s="108"/>
      <c r="E95" s="181"/>
      <c r="F95" s="170"/>
      <c r="G95" s="170"/>
      <c r="H95" s="170"/>
      <c r="I95" s="170"/>
      <c r="J95" s="174"/>
      <c r="K95" s="108"/>
      <c r="L95" s="108"/>
      <c r="M95" s="108"/>
      <c r="N95" s="108"/>
      <c r="O95" s="108"/>
      <c r="P95" s="108"/>
      <c r="Q95" s="108"/>
      <c r="R95" s="108"/>
      <c r="S95" s="108"/>
      <c r="T95" s="108"/>
      <c r="U95" s="108"/>
      <c r="V95" s="108"/>
      <c r="W95" s="108"/>
      <c r="X95" s="108"/>
      <c r="Y95" s="106"/>
      <c r="Z95" s="38"/>
      <c r="AA95" s="26"/>
      <c r="AB95" s="26"/>
      <c r="AC95" s="26"/>
      <c r="AD95" s="26"/>
      <c r="AE95" s="26"/>
      <c r="AF95" s="26"/>
      <c r="AG95" s="26"/>
      <c r="AH95" s="26"/>
      <c r="AI95" s="26"/>
      <c r="AJ95" s="85">
        <v>3</v>
      </c>
      <c r="AK95" s="12">
        <v>1</v>
      </c>
      <c r="AL95" s="12">
        <v>1</v>
      </c>
      <c r="AM95" s="12">
        <v>1</v>
      </c>
      <c r="AN95" s="12">
        <v>1</v>
      </c>
      <c r="AO95" s="12">
        <v>1</v>
      </c>
      <c r="AP95" s="12">
        <v>1</v>
      </c>
      <c r="AQ95" s="12">
        <v>1</v>
      </c>
      <c r="AR95" s="12">
        <v>1</v>
      </c>
      <c r="AS95" s="12">
        <v>1</v>
      </c>
      <c r="AT95" s="12">
        <v>1</v>
      </c>
      <c r="AU95" s="12">
        <v>1</v>
      </c>
      <c r="AV95" s="12">
        <v>1</v>
      </c>
      <c r="AW95" s="12">
        <v>1</v>
      </c>
      <c r="AX95" s="12">
        <v>1</v>
      </c>
      <c r="AY95" s="12">
        <v>1</v>
      </c>
      <c r="AZ95" s="12">
        <v>1</v>
      </c>
      <c r="BA95" s="12">
        <v>1</v>
      </c>
      <c r="BB95" s="12">
        <v>1</v>
      </c>
      <c r="BC95" s="12">
        <v>1</v>
      </c>
      <c r="BD95" s="12">
        <v>1</v>
      </c>
      <c r="BE95" s="12">
        <v>1</v>
      </c>
      <c r="BF95" s="12">
        <v>1</v>
      </c>
      <c r="BG95" s="12">
        <v>1</v>
      </c>
      <c r="BH95" s="12">
        <v>1</v>
      </c>
      <c r="BI95" s="12">
        <v>1</v>
      </c>
      <c r="BJ95" s="12">
        <v>1</v>
      </c>
      <c r="BK95" s="12">
        <v>1</v>
      </c>
      <c r="BL95" s="26"/>
      <c r="BM95" s="29">
        <v>8</v>
      </c>
      <c r="BN95" s="30">
        <v>6</v>
      </c>
      <c r="BO95" s="31">
        <v>1</v>
      </c>
      <c r="BP95" s="29">
        <v>4</v>
      </c>
      <c r="BQ95" s="30">
        <v>2</v>
      </c>
      <c r="BR95" s="31">
        <v>7</v>
      </c>
      <c r="BS95" s="29">
        <v>5</v>
      </c>
      <c r="BT95" s="30">
        <v>3</v>
      </c>
      <c r="BU95" s="31">
        <v>9</v>
      </c>
      <c r="BV95" s="26"/>
      <c r="BW95" s="26"/>
      <c r="BX95" s="26"/>
      <c r="BY95" s="26"/>
      <c r="BZ95" s="38"/>
      <c r="CA95" s="26"/>
      <c r="CB95" s="26"/>
      <c r="CC95" s="26"/>
      <c r="CD95" s="26"/>
      <c r="CE95" s="26"/>
      <c r="CF95" s="26"/>
      <c r="CG95" s="26"/>
      <c r="CH95" s="26"/>
      <c r="CI95" s="26"/>
      <c r="CJ95" s="26"/>
      <c r="CK95" s="26"/>
      <c r="CL95" s="26"/>
      <c r="CM95" s="26"/>
      <c r="CN95" s="26"/>
      <c r="CO95" s="26"/>
      <c r="CP95" s="26"/>
      <c r="CQ95" s="26"/>
      <c r="CR95" s="26"/>
      <c r="CS95" s="26"/>
      <c r="CT95" s="26"/>
      <c r="CU95" s="26"/>
      <c r="CV95" s="26"/>
      <c r="CW95" s="26"/>
      <c r="CX95" s="26"/>
      <c r="CY95" s="26"/>
      <c r="CZ95" s="26"/>
    </row>
    <row r="96" spans="1:104" ht="12.75" customHeight="1" x14ac:dyDescent="0.2">
      <c r="A96" s="108"/>
      <c r="B96" s="108"/>
      <c r="C96" s="108"/>
      <c r="D96" s="108"/>
      <c r="E96" s="180">
        <v>7</v>
      </c>
      <c r="F96" s="170"/>
      <c r="G96" s="169">
        <v>8</v>
      </c>
      <c r="H96" s="170"/>
      <c r="I96" s="169"/>
      <c r="J96" s="174"/>
      <c r="K96" s="108"/>
      <c r="L96" s="108"/>
      <c r="M96" s="108"/>
      <c r="N96" s="108"/>
      <c r="O96" s="108"/>
      <c r="P96" s="108"/>
      <c r="Q96" s="108"/>
      <c r="R96" s="108"/>
      <c r="S96" s="108"/>
      <c r="T96" s="108"/>
      <c r="U96" s="108"/>
      <c r="V96" s="108"/>
      <c r="W96" s="108"/>
      <c r="X96" s="108"/>
      <c r="Y96" s="106"/>
      <c r="Z96" s="38"/>
      <c r="AA96" s="26"/>
      <c r="AB96" s="26"/>
      <c r="AC96" s="26"/>
      <c r="AD96" s="26"/>
      <c r="AE96" s="26"/>
      <c r="AF96" s="26"/>
      <c r="AG96" s="26"/>
      <c r="AH96" s="26"/>
      <c r="AI96" s="26"/>
      <c r="AJ96" s="85">
        <v>4</v>
      </c>
      <c r="AK96" s="12">
        <v>1</v>
      </c>
      <c r="AL96" s="12">
        <v>1</v>
      </c>
      <c r="AM96" s="12">
        <v>1</v>
      </c>
      <c r="AN96" s="12">
        <v>1</v>
      </c>
      <c r="AO96" s="12">
        <v>1</v>
      </c>
      <c r="AP96" s="12">
        <v>1</v>
      </c>
      <c r="AQ96" s="12">
        <v>1</v>
      </c>
      <c r="AR96" s="12">
        <v>1</v>
      </c>
      <c r="AS96" s="12">
        <v>1</v>
      </c>
      <c r="AT96" s="12">
        <v>1</v>
      </c>
      <c r="AU96" s="12">
        <v>1</v>
      </c>
      <c r="AV96" s="12">
        <v>1</v>
      </c>
      <c r="AW96" s="12">
        <v>1</v>
      </c>
      <c r="AX96" s="12">
        <v>1</v>
      </c>
      <c r="AY96" s="12">
        <v>1</v>
      </c>
      <c r="AZ96" s="12">
        <v>1</v>
      </c>
      <c r="BA96" s="12">
        <v>1</v>
      </c>
      <c r="BB96" s="12">
        <v>1</v>
      </c>
      <c r="BC96" s="12">
        <v>1</v>
      </c>
      <c r="BD96" s="12">
        <v>1</v>
      </c>
      <c r="BE96" s="12">
        <v>1</v>
      </c>
      <c r="BF96" s="12">
        <v>1</v>
      </c>
      <c r="BG96" s="12">
        <v>1</v>
      </c>
      <c r="BH96" s="12">
        <v>1</v>
      </c>
      <c r="BI96" s="12">
        <v>1</v>
      </c>
      <c r="BJ96" s="12">
        <v>1</v>
      </c>
      <c r="BK96" s="12">
        <v>1</v>
      </c>
      <c r="BL96" s="26"/>
      <c r="BM96" s="32">
        <v>2</v>
      </c>
      <c r="BN96" s="33">
        <v>5</v>
      </c>
      <c r="BO96" s="34">
        <v>7</v>
      </c>
      <c r="BP96" s="32">
        <v>6</v>
      </c>
      <c r="BQ96" s="33">
        <v>9</v>
      </c>
      <c r="BR96" s="34">
        <v>3</v>
      </c>
      <c r="BS96" s="32">
        <v>8</v>
      </c>
      <c r="BT96" s="33">
        <v>4</v>
      </c>
      <c r="BU96" s="34">
        <v>1</v>
      </c>
      <c r="BV96" s="26"/>
      <c r="BW96" s="26"/>
      <c r="BX96" s="26"/>
      <c r="BY96" s="26"/>
      <c r="BZ96" s="38"/>
      <c r="CA96" s="26"/>
      <c r="CB96" s="26"/>
      <c r="CC96" s="26"/>
      <c r="CD96" s="26"/>
      <c r="CE96" s="26"/>
      <c r="CF96" s="26"/>
      <c r="CG96" s="26"/>
      <c r="CH96" s="26"/>
      <c r="CI96" s="26"/>
      <c r="CJ96" s="26"/>
      <c r="CK96" s="26"/>
      <c r="CL96" s="26"/>
      <c r="CM96" s="26"/>
      <c r="CN96" s="26"/>
      <c r="CO96" s="26"/>
      <c r="CP96" s="26"/>
      <c r="CQ96" s="26"/>
      <c r="CR96" s="26"/>
      <c r="CS96" s="26"/>
      <c r="CT96" s="26"/>
      <c r="CU96" s="26"/>
      <c r="CV96" s="26"/>
      <c r="CW96" s="26"/>
      <c r="CX96" s="26"/>
      <c r="CY96" s="26"/>
      <c r="CZ96" s="26"/>
    </row>
    <row r="97" spans="1:104" ht="12.75" customHeight="1" thickBot="1" x14ac:dyDescent="0.25">
      <c r="A97" s="108"/>
      <c r="B97" s="108"/>
      <c r="C97" s="108"/>
      <c r="D97" s="108"/>
      <c r="E97" s="182"/>
      <c r="F97" s="171"/>
      <c r="G97" s="171"/>
      <c r="H97" s="171"/>
      <c r="I97" s="171"/>
      <c r="J97" s="175"/>
      <c r="K97" s="108"/>
      <c r="L97" s="108"/>
      <c r="M97" s="108"/>
      <c r="N97" s="108"/>
      <c r="O97" s="108"/>
      <c r="P97" s="108"/>
      <c r="Q97" s="108"/>
      <c r="R97" s="108"/>
      <c r="S97" s="108"/>
      <c r="T97" s="108"/>
      <c r="U97" s="108"/>
      <c r="V97" s="108"/>
      <c r="W97" s="108"/>
      <c r="X97" s="108"/>
      <c r="Y97" s="106"/>
      <c r="Z97" s="38"/>
      <c r="AA97" s="26"/>
      <c r="AB97" s="26"/>
      <c r="AC97" s="26"/>
      <c r="AD97" s="26"/>
      <c r="AE97" s="26"/>
      <c r="AF97" s="26"/>
      <c r="AG97" s="26"/>
      <c r="AH97" s="26"/>
      <c r="AI97" s="26"/>
      <c r="AJ97" s="85">
        <v>5</v>
      </c>
      <c r="AK97" s="12">
        <v>1</v>
      </c>
      <c r="AL97" s="12">
        <v>1</v>
      </c>
      <c r="AM97" s="12">
        <v>1</v>
      </c>
      <c r="AN97" s="12">
        <v>1</v>
      </c>
      <c r="AO97" s="12">
        <v>1</v>
      </c>
      <c r="AP97" s="12">
        <v>1</v>
      </c>
      <c r="AQ97" s="12">
        <v>1</v>
      </c>
      <c r="AR97" s="12">
        <v>1</v>
      </c>
      <c r="AS97" s="12">
        <v>1</v>
      </c>
      <c r="AT97" s="12">
        <v>1</v>
      </c>
      <c r="AU97" s="12">
        <v>1</v>
      </c>
      <c r="AV97" s="12">
        <v>1</v>
      </c>
      <c r="AW97" s="12">
        <v>1</v>
      </c>
      <c r="AX97" s="12">
        <v>1</v>
      </c>
      <c r="AY97" s="12">
        <v>1</v>
      </c>
      <c r="AZ97" s="12">
        <v>1</v>
      </c>
      <c r="BA97" s="12">
        <v>1</v>
      </c>
      <c r="BB97" s="12">
        <v>1</v>
      </c>
      <c r="BC97" s="12">
        <v>1</v>
      </c>
      <c r="BD97" s="12">
        <v>1</v>
      </c>
      <c r="BE97" s="12">
        <v>1</v>
      </c>
      <c r="BF97" s="12">
        <v>1</v>
      </c>
      <c r="BG97" s="12">
        <v>1</v>
      </c>
      <c r="BH97" s="12">
        <v>1</v>
      </c>
      <c r="BI97" s="12">
        <v>1</v>
      </c>
      <c r="BJ97" s="12">
        <v>1</v>
      </c>
      <c r="BK97" s="12">
        <v>1</v>
      </c>
      <c r="BL97" s="26"/>
      <c r="BM97" s="35">
        <v>9</v>
      </c>
      <c r="BN97" s="36">
        <v>3</v>
      </c>
      <c r="BO97" s="37">
        <v>4</v>
      </c>
      <c r="BP97" s="35">
        <v>5</v>
      </c>
      <c r="BQ97" s="36">
        <v>1</v>
      </c>
      <c r="BR97" s="37">
        <v>8</v>
      </c>
      <c r="BS97" s="35">
        <v>7</v>
      </c>
      <c r="BT97" s="36">
        <v>6</v>
      </c>
      <c r="BU97" s="37">
        <v>2</v>
      </c>
      <c r="BV97" s="26"/>
      <c r="BW97" s="26"/>
      <c r="BX97" s="26"/>
      <c r="BY97" s="26"/>
      <c r="BZ97" s="38"/>
      <c r="CA97" s="26"/>
      <c r="CB97" s="26"/>
      <c r="CC97" s="26"/>
      <c r="CD97" s="26"/>
      <c r="CE97" s="26"/>
      <c r="CF97" s="26"/>
      <c r="CG97" s="26"/>
      <c r="CH97" s="26"/>
      <c r="CI97" s="26"/>
      <c r="CJ97" s="26"/>
      <c r="CK97" s="26"/>
      <c r="CL97" s="26"/>
      <c r="CM97" s="26"/>
      <c r="CN97" s="26"/>
      <c r="CO97" s="26"/>
      <c r="CP97" s="26"/>
      <c r="CQ97" s="26"/>
      <c r="CR97" s="26"/>
      <c r="CS97" s="26"/>
      <c r="CT97" s="26"/>
      <c r="CU97" s="26"/>
      <c r="CV97" s="26"/>
      <c r="CW97" s="26"/>
      <c r="CX97" s="26"/>
      <c r="CY97" s="26"/>
      <c r="CZ97" s="26"/>
    </row>
    <row r="98" spans="1:104" ht="12.75" customHeight="1" x14ac:dyDescent="0.2">
      <c r="A98" s="108"/>
      <c r="B98" s="108"/>
      <c r="C98" s="108"/>
      <c r="D98" s="108"/>
      <c r="E98" s="108"/>
      <c r="F98" s="108"/>
      <c r="G98" s="108"/>
      <c r="H98" s="108"/>
      <c r="I98" s="108"/>
      <c r="J98" s="108"/>
      <c r="K98" s="108"/>
      <c r="L98" s="108"/>
      <c r="M98" s="108"/>
      <c r="N98" s="108"/>
      <c r="O98" s="108"/>
      <c r="P98" s="108"/>
      <c r="Q98" s="108"/>
      <c r="R98" s="108"/>
      <c r="S98" s="108"/>
      <c r="T98" s="108"/>
      <c r="U98" s="108"/>
      <c r="V98" s="108"/>
      <c r="W98" s="108"/>
      <c r="X98" s="108"/>
      <c r="Y98" s="106"/>
      <c r="Z98" s="38"/>
      <c r="AA98" s="26"/>
      <c r="AB98" s="26"/>
      <c r="AC98" s="26"/>
      <c r="AD98" s="26"/>
      <c r="AE98" s="26"/>
      <c r="AF98" s="26"/>
      <c r="AG98" s="26"/>
      <c r="AH98" s="26"/>
      <c r="AI98" s="26"/>
      <c r="AJ98" s="85">
        <v>6</v>
      </c>
      <c r="AK98" s="12">
        <v>1</v>
      </c>
      <c r="AL98" s="12">
        <v>1</v>
      </c>
      <c r="AM98" s="12">
        <v>1</v>
      </c>
      <c r="AN98" s="12">
        <v>1</v>
      </c>
      <c r="AO98" s="12">
        <v>1</v>
      </c>
      <c r="AP98" s="12">
        <v>1</v>
      </c>
      <c r="AQ98" s="12">
        <v>1</v>
      </c>
      <c r="AR98" s="12">
        <v>1</v>
      </c>
      <c r="AS98" s="12">
        <v>1</v>
      </c>
      <c r="AT98" s="12">
        <v>1</v>
      </c>
      <c r="AU98" s="12">
        <v>1</v>
      </c>
      <c r="AV98" s="12">
        <v>1</v>
      </c>
      <c r="AW98" s="12">
        <v>1</v>
      </c>
      <c r="AX98" s="12">
        <v>1</v>
      </c>
      <c r="AY98" s="12">
        <v>1</v>
      </c>
      <c r="AZ98" s="12">
        <v>1</v>
      </c>
      <c r="BA98" s="12">
        <v>1</v>
      </c>
      <c r="BB98" s="12">
        <v>1</v>
      </c>
      <c r="BC98" s="12">
        <v>1</v>
      </c>
      <c r="BD98" s="12">
        <v>1</v>
      </c>
      <c r="BE98" s="12">
        <v>1</v>
      </c>
      <c r="BF98" s="12">
        <v>1</v>
      </c>
      <c r="BG98" s="12">
        <v>1</v>
      </c>
      <c r="BH98" s="12">
        <v>1</v>
      </c>
      <c r="BI98" s="12">
        <v>1</v>
      </c>
      <c r="BJ98" s="12">
        <v>1</v>
      </c>
      <c r="BK98" s="12">
        <v>1</v>
      </c>
      <c r="BL98" s="26"/>
      <c r="BM98" s="29">
        <v>3</v>
      </c>
      <c r="BN98" s="30">
        <v>7</v>
      </c>
      <c r="BO98" s="31">
        <v>5</v>
      </c>
      <c r="BP98" s="29">
        <v>2</v>
      </c>
      <c r="BQ98" s="30">
        <v>6</v>
      </c>
      <c r="BR98" s="31">
        <v>4</v>
      </c>
      <c r="BS98" s="29">
        <v>9</v>
      </c>
      <c r="BT98" s="30">
        <v>1</v>
      </c>
      <c r="BU98" s="31">
        <v>8</v>
      </c>
      <c r="BV98" s="26"/>
      <c r="BW98" s="26"/>
      <c r="BX98" s="26"/>
      <c r="BY98" s="26"/>
      <c r="BZ98" s="38"/>
      <c r="CA98" s="26"/>
      <c r="CB98" s="26"/>
      <c r="CC98" s="26"/>
      <c r="CD98" s="26"/>
      <c r="CE98" s="26"/>
      <c r="CF98" s="26"/>
      <c r="CG98" s="26"/>
      <c r="CH98" s="26"/>
      <c r="CI98" s="26"/>
      <c r="CJ98" s="26"/>
      <c r="CK98" s="26"/>
      <c r="CL98" s="26"/>
      <c r="CM98" s="26"/>
      <c r="CN98" s="26"/>
      <c r="CO98" s="26"/>
      <c r="CP98" s="26"/>
      <c r="CQ98" s="26"/>
      <c r="CR98" s="26"/>
      <c r="CS98" s="26"/>
      <c r="CT98" s="26"/>
      <c r="CU98" s="26"/>
      <c r="CV98" s="26"/>
      <c r="CW98" s="26"/>
      <c r="CX98" s="26"/>
      <c r="CY98" s="26"/>
      <c r="CZ98" s="26"/>
    </row>
    <row r="99" spans="1:104" ht="12.75" customHeight="1" x14ac:dyDescent="0.2">
      <c r="A99" s="108"/>
      <c r="B99" s="108"/>
      <c r="C99" s="108"/>
      <c r="D99" s="108"/>
      <c r="E99" s="108"/>
      <c r="F99" s="108"/>
      <c r="G99" s="108"/>
      <c r="H99" s="108"/>
      <c r="I99" s="108"/>
      <c r="J99" s="108"/>
      <c r="K99" s="108"/>
      <c r="L99" s="108"/>
      <c r="M99" s="108"/>
      <c r="N99" s="108"/>
      <c r="O99" s="108"/>
      <c r="P99" s="108"/>
      <c r="Q99" s="108"/>
      <c r="R99" s="108"/>
      <c r="S99" s="108"/>
      <c r="T99" s="108"/>
      <c r="U99" s="108"/>
      <c r="V99" s="108"/>
      <c r="W99" s="108"/>
      <c r="X99" s="108"/>
      <c r="Y99" s="106"/>
      <c r="Z99" s="38"/>
      <c r="AA99" s="26"/>
      <c r="AB99" s="26"/>
      <c r="AC99" s="26"/>
      <c r="AD99" s="26"/>
      <c r="AE99" s="26"/>
      <c r="AF99" s="26"/>
      <c r="AG99" s="26"/>
      <c r="AH99" s="26"/>
      <c r="AI99" s="26"/>
      <c r="AJ99" s="85">
        <v>7</v>
      </c>
      <c r="AK99" s="12">
        <v>1</v>
      </c>
      <c r="AL99" s="12">
        <v>1</v>
      </c>
      <c r="AM99" s="12">
        <v>1</v>
      </c>
      <c r="AN99" s="12">
        <v>1</v>
      </c>
      <c r="AO99" s="12">
        <v>1</v>
      </c>
      <c r="AP99" s="12">
        <v>1</v>
      </c>
      <c r="AQ99" s="12">
        <v>1</v>
      </c>
      <c r="AR99" s="12">
        <v>1</v>
      </c>
      <c r="AS99" s="12">
        <v>1</v>
      </c>
      <c r="AT99" s="12">
        <v>1</v>
      </c>
      <c r="AU99" s="12">
        <v>1</v>
      </c>
      <c r="AV99" s="12">
        <v>1</v>
      </c>
      <c r="AW99" s="12">
        <v>1</v>
      </c>
      <c r="AX99" s="12">
        <v>1</v>
      </c>
      <c r="AY99" s="12">
        <v>1</v>
      </c>
      <c r="AZ99" s="12">
        <v>1</v>
      </c>
      <c r="BA99" s="12">
        <v>1</v>
      </c>
      <c r="BB99" s="12">
        <v>1</v>
      </c>
      <c r="BC99" s="12">
        <v>1</v>
      </c>
      <c r="BD99" s="12">
        <v>1</v>
      </c>
      <c r="BE99" s="12">
        <v>1</v>
      </c>
      <c r="BF99" s="12">
        <v>1</v>
      </c>
      <c r="BG99" s="12">
        <v>1</v>
      </c>
      <c r="BH99" s="12">
        <v>1</v>
      </c>
      <c r="BI99" s="12">
        <v>1</v>
      </c>
      <c r="BJ99" s="12">
        <v>1</v>
      </c>
      <c r="BK99" s="12">
        <v>1</v>
      </c>
      <c r="BL99" s="26"/>
      <c r="BM99" s="32">
        <v>1</v>
      </c>
      <c r="BN99" s="33">
        <v>4</v>
      </c>
      <c r="BO99" s="34">
        <v>2</v>
      </c>
      <c r="BP99" s="32">
        <v>7</v>
      </c>
      <c r="BQ99" s="33">
        <v>8</v>
      </c>
      <c r="BR99" s="34">
        <v>9</v>
      </c>
      <c r="BS99" s="32">
        <v>6</v>
      </c>
      <c r="BT99" s="33">
        <v>5</v>
      </c>
      <c r="BU99" s="34">
        <v>3</v>
      </c>
      <c r="BV99" s="26"/>
      <c r="BW99" s="26"/>
      <c r="BX99" s="26"/>
      <c r="BY99" s="26"/>
      <c r="BZ99" s="38"/>
      <c r="CA99" s="26"/>
      <c r="CB99" s="26"/>
      <c r="CC99" s="26"/>
      <c r="CD99" s="26"/>
      <c r="CE99" s="26"/>
      <c r="CF99" s="26"/>
      <c r="CG99" s="26"/>
      <c r="CH99" s="26"/>
      <c r="CI99" s="26"/>
      <c r="CJ99" s="26"/>
      <c r="CK99" s="26"/>
      <c r="CL99" s="26"/>
      <c r="CM99" s="26"/>
      <c r="CN99" s="26"/>
      <c r="CO99" s="26"/>
      <c r="CP99" s="26"/>
      <c r="CQ99" s="26"/>
      <c r="CR99" s="26"/>
      <c r="CS99" s="26"/>
      <c r="CT99" s="26"/>
      <c r="CU99" s="26"/>
      <c r="CV99" s="26"/>
      <c r="CW99" s="26"/>
      <c r="CX99" s="26"/>
      <c r="CY99" s="26"/>
      <c r="CZ99" s="26"/>
    </row>
    <row r="100" spans="1:104" ht="12.75" customHeight="1" thickBot="1" x14ac:dyDescent="0.25">
      <c r="A100" s="108"/>
      <c r="B100" s="108"/>
      <c r="C100" s="108"/>
      <c r="D100" s="108"/>
      <c r="E100" s="108"/>
      <c r="F100" s="108"/>
      <c r="G100" s="108"/>
      <c r="H100" s="108"/>
      <c r="I100" s="108"/>
      <c r="J100" s="108"/>
      <c r="K100" s="108"/>
      <c r="L100" s="108"/>
      <c r="M100" s="108"/>
      <c r="N100" s="108"/>
      <c r="O100" s="108"/>
      <c r="P100" s="108"/>
      <c r="Q100" s="108"/>
      <c r="R100" s="108"/>
      <c r="S100" s="108"/>
      <c r="T100" s="108"/>
      <c r="U100" s="108"/>
      <c r="V100" s="108"/>
      <c r="W100" s="108"/>
      <c r="X100" s="108"/>
      <c r="Y100" s="106"/>
      <c r="Z100" s="38"/>
      <c r="AA100" s="26"/>
      <c r="AB100" s="26"/>
      <c r="AC100" s="26"/>
      <c r="AD100" s="26"/>
      <c r="AE100" s="26"/>
      <c r="AF100" s="26"/>
      <c r="AG100" s="26"/>
      <c r="AH100" s="26"/>
      <c r="AI100" s="26"/>
      <c r="AJ100" s="85">
        <v>8</v>
      </c>
      <c r="AK100" s="12">
        <v>1</v>
      </c>
      <c r="AL100" s="12">
        <v>1</v>
      </c>
      <c r="AM100" s="12">
        <v>1</v>
      </c>
      <c r="AN100" s="12">
        <v>1</v>
      </c>
      <c r="AO100" s="12">
        <v>1</v>
      </c>
      <c r="AP100" s="12">
        <v>1</v>
      </c>
      <c r="AQ100" s="12">
        <v>1</v>
      </c>
      <c r="AR100" s="12">
        <v>1</v>
      </c>
      <c r="AS100" s="12">
        <v>1</v>
      </c>
      <c r="AT100" s="12">
        <v>1</v>
      </c>
      <c r="AU100" s="12">
        <v>1</v>
      </c>
      <c r="AV100" s="12">
        <v>1</v>
      </c>
      <c r="AW100" s="12">
        <v>1</v>
      </c>
      <c r="AX100" s="12">
        <v>1</v>
      </c>
      <c r="AY100" s="12">
        <v>1</v>
      </c>
      <c r="AZ100" s="12">
        <v>1</v>
      </c>
      <c r="BA100" s="12">
        <v>1</v>
      </c>
      <c r="BB100" s="12">
        <v>1</v>
      </c>
      <c r="BC100" s="12">
        <v>1</v>
      </c>
      <c r="BD100" s="12">
        <v>1</v>
      </c>
      <c r="BE100" s="12">
        <v>1</v>
      </c>
      <c r="BF100" s="12">
        <v>1</v>
      </c>
      <c r="BG100" s="12">
        <v>1</v>
      </c>
      <c r="BH100" s="12">
        <v>1</v>
      </c>
      <c r="BI100" s="12">
        <v>1</v>
      </c>
      <c r="BJ100" s="12">
        <v>1</v>
      </c>
      <c r="BK100" s="12">
        <v>1</v>
      </c>
      <c r="BL100" s="26"/>
      <c r="BM100" s="35">
        <v>6</v>
      </c>
      <c r="BN100" s="36">
        <v>8</v>
      </c>
      <c r="BO100" s="37">
        <v>9</v>
      </c>
      <c r="BP100" s="35">
        <v>1</v>
      </c>
      <c r="BQ100" s="36">
        <v>3</v>
      </c>
      <c r="BR100" s="37">
        <v>5</v>
      </c>
      <c r="BS100" s="35">
        <v>4</v>
      </c>
      <c r="BT100" s="36">
        <v>2</v>
      </c>
      <c r="BU100" s="37">
        <v>7</v>
      </c>
      <c r="BV100" s="26"/>
      <c r="BW100" s="26"/>
      <c r="BX100" s="26"/>
      <c r="BY100" s="26"/>
      <c r="BZ100" s="38"/>
      <c r="CA100" s="26"/>
      <c r="CB100" s="26"/>
      <c r="CC100" s="26"/>
      <c r="CD100" s="26"/>
      <c r="CE100" s="26"/>
      <c r="CF100" s="26"/>
      <c r="CG100" s="26"/>
      <c r="CH100" s="26"/>
      <c r="CI100" s="26"/>
      <c r="CJ100" s="26"/>
      <c r="CK100" s="26"/>
      <c r="CL100" s="26"/>
      <c r="CM100" s="26"/>
      <c r="CN100" s="26"/>
      <c r="CO100" s="26"/>
      <c r="CP100" s="26"/>
      <c r="CQ100" s="26"/>
      <c r="CR100" s="26"/>
      <c r="CS100" s="26"/>
      <c r="CT100" s="26"/>
      <c r="CU100" s="26"/>
      <c r="CV100" s="26"/>
      <c r="CW100" s="26"/>
      <c r="CX100" s="26"/>
      <c r="CY100" s="26"/>
      <c r="CZ100" s="26"/>
    </row>
    <row r="101" spans="1:104" ht="12.75" customHeight="1" x14ac:dyDescent="0.2">
      <c r="A101" s="108"/>
      <c r="B101" s="108"/>
      <c r="C101" s="108"/>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6"/>
      <c r="Z101" s="38"/>
      <c r="AA101" s="26"/>
      <c r="AB101" s="26"/>
      <c r="AC101" s="26"/>
      <c r="AD101" s="26"/>
      <c r="AE101" s="26"/>
      <c r="AF101" s="26"/>
      <c r="AG101" s="26"/>
      <c r="AH101" s="26"/>
      <c r="AI101" s="26"/>
      <c r="AJ101" s="85">
        <v>9</v>
      </c>
      <c r="AK101" s="12">
        <v>1</v>
      </c>
      <c r="AL101" s="12">
        <v>1</v>
      </c>
      <c r="AM101" s="12">
        <v>1</v>
      </c>
      <c r="AN101" s="12">
        <v>1</v>
      </c>
      <c r="AO101" s="12">
        <v>1</v>
      </c>
      <c r="AP101" s="12">
        <v>1</v>
      </c>
      <c r="AQ101" s="12">
        <v>1</v>
      </c>
      <c r="AR101" s="12">
        <v>1</v>
      </c>
      <c r="AS101" s="12">
        <v>1</v>
      </c>
      <c r="AT101" s="12">
        <v>1</v>
      </c>
      <c r="AU101" s="12">
        <v>1</v>
      </c>
      <c r="AV101" s="12">
        <v>1</v>
      </c>
      <c r="AW101" s="12">
        <v>1</v>
      </c>
      <c r="AX101" s="12">
        <v>1</v>
      </c>
      <c r="AY101" s="12">
        <v>1</v>
      </c>
      <c r="AZ101" s="12">
        <v>1</v>
      </c>
      <c r="BA101" s="12">
        <v>1</v>
      </c>
      <c r="BB101" s="12">
        <v>1</v>
      </c>
      <c r="BC101" s="12">
        <v>1</v>
      </c>
      <c r="BD101" s="12">
        <v>1</v>
      </c>
      <c r="BE101" s="12">
        <v>1</v>
      </c>
      <c r="BF101" s="12">
        <v>1</v>
      </c>
      <c r="BG101" s="12">
        <v>1</v>
      </c>
      <c r="BH101" s="12">
        <v>1</v>
      </c>
      <c r="BI101" s="12">
        <v>1</v>
      </c>
      <c r="BJ101" s="12">
        <v>1</v>
      </c>
      <c r="BK101" s="12">
        <v>1</v>
      </c>
      <c r="BL101" s="26"/>
      <c r="BM101" s="29">
        <v>5</v>
      </c>
      <c r="BN101" s="30">
        <v>9</v>
      </c>
      <c r="BO101" s="31">
        <v>8</v>
      </c>
      <c r="BP101" s="29">
        <v>3</v>
      </c>
      <c r="BQ101" s="30">
        <v>4</v>
      </c>
      <c r="BR101" s="31">
        <v>1</v>
      </c>
      <c r="BS101" s="29">
        <v>2</v>
      </c>
      <c r="BT101" s="30">
        <v>7</v>
      </c>
      <c r="BU101" s="31">
        <v>6</v>
      </c>
      <c r="BV101" s="26"/>
      <c r="BW101" s="26"/>
      <c r="BX101" s="26"/>
      <c r="BY101" s="26"/>
      <c r="BZ101" s="38"/>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26"/>
    </row>
    <row r="102" spans="1:104" ht="12.75" customHeight="1" x14ac:dyDescent="0.2">
      <c r="A102" s="108"/>
      <c r="B102" s="108"/>
      <c r="C102" s="108"/>
      <c r="D102" s="108"/>
      <c r="E102" s="108"/>
      <c r="F102" s="108"/>
      <c r="G102" s="108"/>
      <c r="H102" s="108"/>
      <c r="I102" s="108"/>
      <c r="J102" s="108"/>
      <c r="K102" s="108"/>
      <c r="L102" s="108"/>
      <c r="M102" s="108"/>
      <c r="N102" s="108"/>
      <c r="O102" s="108"/>
      <c r="P102" s="108"/>
      <c r="Q102" s="108"/>
      <c r="R102" s="108"/>
      <c r="S102" s="108"/>
      <c r="T102" s="108"/>
      <c r="U102" s="108"/>
      <c r="V102" s="108"/>
      <c r="W102" s="108"/>
      <c r="X102" s="108"/>
      <c r="Y102" s="106"/>
      <c r="Z102" s="38"/>
      <c r="AA102" s="26"/>
      <c r="AB102" s="26"/>
      <c r="AC102" s="26"/>
      <c r="AD102" s="26"/>
      <c r="AE102" s="26"/>
      <c r="AF102" s="26"/>
      <c r="AG102" s="26"/>
      <c r="AH102" s="26"/>
      <c r="AI102" s="26"/>
      <c r="AJ102" s="27"/>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32">
        <v>4</v>
      </c>
      <c r="BN102" s="33">
        <v>2</v>
      </c>
      <c r="BO102" s="34">
        <v>3</v>
      </c>
      <c r="BP102" s="32">
        <v>8</v>
      </c>
      <c r="BQ102" s="33">
        <v>7</v>
      </c>
      <c r="BR102" s="34">
        <v>6</v>
      </c>
      <c r="BS102" s="32">
        <v>1</v>
      </c>
      <c r="BT102" s="33">
        <v>9</v>
      </c>
      <c r="BU102" s="34">
        <v>5</v>
      </c>
      <c r="BV102" s="26"/>
      <c r="BW102" s="26"/>
      <c r="BX102" s="26"/>
      <c r="BY102" s="26"/>
      <c r="BZ102" s="38"/>
      <c r="CA102" s="26"/>
      <c r="CB102" s="26"/>
      <c r="CC102" s="26"/>
      <c r="CD102" s="26"/>
      <c r="CE102" s="26"/>
      <c r="CF102" s="26"/>
      <c r="CG102" s="26"/>
      <c r="CH102" s="26"/>
      <c r="CI102" s="26"/>
      <c r="CJ102" s="26"/>
      <c r="CK102" s="26"/>
      <c r="CL102" s="26"/>
      <c r="CM102" s="26"/>
      <c r="CN102" s="26"/>
      <c r="CO102" s="26"/>
      <c r="CP102" s="26"/>
      <c r="CQ102" s="26"/>
      <c r="CR102" s="26"/>
      <c r="CS102" s="26"/>
      <c r="CT102" s="26"/>
      <c r="CU102" s="26"/>
      <c r="CV102" s="26"/>
      <c r="CW102" s="26"/>
      <c r="CX102" s="26"/>
      <c r="CY102" s="26"/>
      <c r="CZ102" s="26"/>
    </row>
    <row r="103" spans="1:104" ht="12.75" customHeight="1" thickBot="1" x14ac:dyDescent="0.25">
      <c r="A103" s="108"/>
      <c r="B103" s="108"/>
      <c r="C103" s="108"/>
      <c r="D103" s="108"/>
      <c r="E103" s="108"/>
      <c r="F103" s="108"/>
      <c r="G103" s="108"/>
      <c r="H103" s="108"/>
      <c r="I103" s="108"/>
      <c r="J103" s="108"/>
      <c r="K103" s="108"/>
      <c r="L103" s="108"/>
      <c r="M103" s="108"/>
      <c r="N103" s="108"/>
      <c r="O103" s="108"/>
      <c r="P103" s="108"/>
      <c r="Q103" s="108"/>
      <c r="R103" s="108"/>
      <c r="S103" s="108"/>
      <c r="T103" s="108"/>
      <c r="U103" s="108"/>
      <c r="V103" s="108"/>
      <c r="W103" s="108"/>
      <c r="X103" s="108"/>
      <c r="Y103" s="106"/>
      <c r="Z103" s="38"/>
      <c r="AA103" s="26"/>
      <c r="AB103" s="26"/>
      <c r="AC103" s="26"/>
      <c r="AD103" s="26"/>
      <c r="AE103" s="26"/>
      <c r="AF103" s="26"/>
      <c r="AG103" s="26"/>
      <c r="AH103" s="26"/>
      <c r="AI103" s="26"/>
      <c r="AJ103" s="27" t="s">
        <v>92</v>
      </c>
      <c r="AK103" s="26"/>
      <c r="AL103" s="26"/>
      <c r="AM103" s="26"/>
      <c r="AN103" s="26"/>
      <c r="AO103" s="26"/>
      <c r="AP103" s="26"/>
      <c r="AQ103" s="26"/>
      <c r="AR103" s="26"/>
      <c r="AS103" s="26"/>
      <c r="AT103" s="26"/>
      <c r="AU103" s="12">
        <v>1</v>
      </c>
      <c r="AV103" s="26"/>
      <c r="AW103" s="26"/>
      <c r="AX103" s="26"/>
      <c r="AY103" s="26"/>
      <c r="AZ103" s="26"/>
      <c r="BA103" s="26"/>
      <c r="BB103" s="26"/>
      <c r="BC103" s="26"/>
      <c r="BD103" s="26"/>
      <c r="BE103" s="26"/>
      <c r="BF103" s="26"/>
      <c r="BG103" s="26"/>
      <c r="BH103" s="26"/>
      <c r="BI103" s="26"/>
      <c r="BJ103" s="26"/>
      <c r="BK103" s="26"/>
      <c r="BL103" s="26"/>
      <c r="BM103" s="35">
        <v>7</v>
      </c>
      <c r="BN103" s="36">
        <v>1</v>
      </c>
      <c r="BO103" s="37">
        <v>6</v>
      </c>
      <c r="BP103" s="35">
        <v>9</v>
      </c>
      <c r="BQ103" s="36">
        <v>5</v>
      </c>
      <c r="BR103" s="37">
        <v>2</v>
      </c>
      <c r="BS103" s="35">
        <v>3</v>
      </c>
      <c r="BT103" s="36">
        <v>8</v>
      </c>
      <c r="BU103" s="37">
        <v>4</v>
      </c>
      <c r="BV103" s="26"/>
      <c r="BW103" s="26"/>
      <c r="BX103" s="26"/>
      <c r="BY103" s="26"/>
      <c r="BZ103" s="38"/>
      <c r="CA103" s="26"/>
      <c r="CB103" s="26"/>
      <c r="CC103" s="26"/>
      <c r="CD103" s="26"/>
      <c r="CE103" s="26"/>
      <c r="CF103" s="26"/>
      <c r="CG103" s="26"/>
      <c r="CH103" s="26"/>
      <c r="CI103" s="26"/>
      <c r="CJ103" s="26"/>
      <c r="CK103" s="26"/>
      <c r="CL103" s="26"/>
      <c r="CM103" s="26"/>
      <c r="CN103" s="26"/>
      <c r="CO103" s="26"/>
      <c r="CP103" s="26"/>
      <c r="CQ103" s="26"/>
      <c r="CR103" s="26"/>
      <c r="CS103" s="26"/>
      <c r="CT103" s="26"/>
      <c r="CU103" s="26"/>
      <c r="CV103" s="26"/>
      <c r="CW103" s="26"/>
      <c r="CX103" s="26"/>
      <c r="CY103" s="26"/>
      <c r="CZ103" s="26"/>
    </row>
    <row r="104" spans="1:104" ht="12.75" customHeight="1" x14ac:dyDescent="0.2">
      <c r="A104" s="108"/>
      <c r="B104" s="108"/>
      <c r="C104" s="108"/>
      <c r="D104" s="108"/>
      <c r="E104" s="108"/>
      <c r="F104" s="108"/>
      <c r="G104" s="108"/>
      <c r="H104" s="108"/>
      <c r="I104" s="108"/>
      <c r="J104" s="108"/>
      <c r="K104" s="108"/>
      <c r="L104" s="108"/>
      <c r="M104" s="108"/>
      <c r="N104" s="108"/>
      <c r="O104" s="108"/>
      <c r="P104" s="108"/>
      <c r="Q104" s="108"/>
      <c r="R104" s="108"/>
      <c r="S104" s="108"/>
      <c r="T104" s="108"/>
      <c r="U104" s="108"/>
      <c r="V104" s="108"/>
      <c r="W104" s="108"/>
      <c r="X104" s="108"/>
      <c r="Y104" s="106"/>
      <c r="Z104" s="38"/>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38"/>
      <c r="CA104" s="26"/>
      <c r="CB104" s="26"/>
      <c r="CC104" s="26"/>
      <c r="CD104" s="26"/>
      <c r="CE104" s="26"/>
      <c r="CF104" s="26"/>
      <c r="CG104" s="26"/>
      <c r="CH104" s="26"/>
      <c r="CI104" s="26"/>
      <c r="CJ104" s="26"/>
      <c r="CK104" s="26"/>
      <c r="CL104" s="26"/>
      <c r="CM104" s="26"/>
      <c r="CN104" s="26"/>
      <c r="CO104" s="26"/>
      <c r="CP104" s="26"/>
      <c r="CQ104" s="26"/>
      <c r="CR104" s="26"/>
      <c r="CS104" s="26"/>
      <c r="CT104" s="26"/>
      <c r="CU104" s="26"/>
      <c r="CV104" s="26"/>
      <c r="CW104" s="26"/>
      <c r="CX104" s="26"/>
      <c r="CY104" s="26"/>
      <c r="CZ104" s="26"/>
    </row>
    <row r="105" spans="1:104" ht="12.75" customHeight="1" x14ac:dyDescent="0.2"/>
    <row r="106" spans="1:104" ht="12.75" customHeight="1" x14ac:dyDescent="0.2"/>
    <row r="107" spans="1:104" ht="12.75" customHeight="1" x14ac:dyDescent="0.2"/>
    <row r="108" spans="1:104" ht="12.75" customHeight="1" x14ac:dyDescent="0.2"/>
    <row r="109" spans="1:104" ht="12.75" customHeight="1" x14ac:dyDescent="0.2"/>
    <row r="110" spans="1:104" ht="12.75" customHeight="1" x14ac:dyDescent="0.2"/>
    <row r="111" spans="1:104" ht="12.75" customHeight="1" x14ac:dyDescent="0.2"/>
    <row r="112" spans="1:104"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sheetData>
  <mergeCells count="95">
    <mergeCell ref="E96:F97"/>
    <mergeCell ref="G96:H97"/>
    <mergeCell ref="I96:J97"/>
    <mergeCell ref="E92:F93"/>
    <mergeCell ref="G92:H93"/>
    <mergeCell ref="I92:J93"/>
    <mergeCell ref="E94:F95"/>
    <mergeCell ref="G94:H95"/>
    <mergeCell ref="I94:J95"/>
    <mergeCell ref="E63:F64"/>
    <mergeCell ref="E65:F66"/>
    <mergeCell ref="AA69:AW71"/>
    <mergeCell ref="AA72:AW74"/>
    <mergeCell ref="AA57:AW59"/>
    <mergeCell ref="AA61:AW63"/>
    <mergeCell ref="AA65:AW67"/>
    <mergeCell ref="E67:F68"/>
    <mergeCell ref="E69:F70"/>
    <mergeCell ref="E71:F72"/>
    <mergeCell ref="E73:F74"/>
    <mergeCell ref="G57:H58"/>
    <mergeCell ref="G59:H60"/>
    <mergeCell ref="G61:H62"/>
    <mergeCell ref="G63:H64"/>
    <mergeCell ref="G65:H66"/>
    <mergeCell ref="G67:H68"/>
    <mergeCell ref="G69:H70"/>
    <mergeCell ref="G71:H72"/>
    <mergeCell ref="G73:H74"/>
    <mergeCell ref="E57:F58"/>
    <mergeCell ref="E59:F60"/>
    <mergeCell ref="E61:F62"/>
    <mergeCell ref="I67:J68"/>
    <mergeCell ref="I69:J70"/>
    <mergeCell ref="I71:J72"/>
    <mergeCell ref="I73:J74"/>
    <mergeCell ref="K57:L58"/>
    <mergeCell ref="K67:L68"/>
    <mergeCell ref="K69:L70"/>
    <mergeCell ref="K71:L72"/>
    <mergeCell ref="K73:L74"/>
    <mergeCell ref="I57:J58"/>
    <mergeCell ref="I59:J60"/>
    <mergeCell ref="I61:J62"/>
    <mergeCell ref="I63:J64"/>
    <mergeCell ref="I65:J66"/>
    <mergeCell ref="K61:L62"/>
    <mergeCell ref="K63:L64"/>
    <mergeCell ref="K65:L66"/>
    <mergeCell ref="M61:N62"/>
    <mergeCell ref="M63:N64"/>
    <mergeCell ref="M65:N66"/>
    <mergeCell ref="Q57:R58"/>
    <mergeCell ref="S57:T58"/>
    <mergeCell ref="U57:V58"/>
    <mergeCell ref="K59:L60"/>
    <mergeCell ref="O59:P60"/>
    <mergeCell ref="U59:V60"/>
    <mergeCell ref="S59:T60"/>
    <mergeCell ref="M59:N60"/>
    <mergeCell ref="Q59:R60"/>
    <mergeCell ref="M57:N58"/>
    <mergeCell ref="O57:P58"/>
    <mergeCell ref="M67:N68"/>
    <mergeCell ref="M69:N70"/>
    <mergeCell ref="M71:N72"/>
    <mergeCell ref="M73:N74"/>
    <mergeCell ref="O73:P74"/>
    <mergeCell ref="Q71:R72"/>
    <mergeCell ref="Q73:R74"/>
    <mergeCell ref="O61:P62"/>
    <mergeCell ref="O63:P64"/>
    <mergeCell ref="O65:P66"/>
    <mergeCell ref="O67:P68"/>
    <mergeCell ref="O69:P70"/>
    <mergeCell ref="O71:P72"/>
    <mergeCell ref="Q61:R62"/>
    <mergeCell ref="Q63:R64"/>
    <mergeCell ref="Q65:R66"/>
    <mergeCell ref="Q67:R68"/>
    <mergeCell ref="Q69:R70"/>
    <mergeCell ref="S73:T74"/>
    <mergeCell ref="U69:V70"/>
    <mergeCell ref="U71:V72"/>
    <mergeCell ref="U73:V74"/>
    <mergeCell ref="U61:V62"/>
    <mergeCell ref="U63:V64"/>
    <mergeCell ref="U65:V66"/>
    <mergeCell ref="U67:V68"/>
    <mergeCell ref="S61:T62"/>
    <mergeCell ref="S63:T64"/>
    <mergeCell ref="S65:T66"/>
    <mergeCell ref="S67:T68"/>
    <mergeCell ref="S69:T70"/>
    <mergeCell ref="S71:T72"/>
  </mergeCells>
  <phoneticPr fontId="1" type="noConversion"/>
  <conditionalFormatting sqref="CC65:CK73 E6:M14 E30:M38 AD6:AL14 BC71:BK79 BC6:BK14 BO58:BW66 BC54:BK62 BO79:BW87 BM95:BU103 CD54:CL62 CD6:CL14 CD18:CL26 CP48:CX56 AG77:AO85">
    <cfRule type="expression" dxfId="17" priority="1" stopIfTrue="1">
      <formula>#REF!=1</formula>
    </cfRule>
  </conditionalFormatting>
  <conditionalFormatting sqref="AK93:BK101 AU103">
    <cfRule type="cellIs" dxfId="16" priority="2" stopIfTrue="1" operator="equal">
      <formula>1</formula>
    </cfRule>
    <cfRule type="cellIs" dxfId="15" priority="3" stopIfTrue="1" operator="greaterThan">
      <formula>1</formula>
    </cfRule>
  </conditionalFormatting>
  <conditionalFormatting sqref="E18:M26 W18 T30 E42:M50 AD18:AL26 AW17 AS30 BR30 BV17 BC18:BK26 BR72 BS44 BC42:BK50 CD30:CL38 CR20 CW65 CP42:CQ42 CW18 CD42:CL50">
    <cfRule type="cellIs" dxfId="14" priority="4" stopIfTrue="1" operator="lessThan">
      <formula>0</formula>
    </cfRule>
    <cfRule type="cellIs" dxfId="13" priority="5" stopIfTrue="1" operator="between">
      <formula>1</formula>
      <formula>9</formula>
    </cfRule>
    <cfRule type="cellIs" dxfId="12" priority="6" stopIfTrue="1" operator="between">
      <formula>11</formula>
      <formula>99</formula>
    </cfRule>
  </conditionalFormatting>
  <conditionalFormatting sqref="AD38:AL38 AM29:AM37 BC38:BK38 BL29:BL37">
    <cfRule type="cellIs" dxfId="11" priority="7" stopIfTrue="1" operator="equal">
      <formula>1</formula>
    </cfRule>
    <cfRule type="cellIs" dxfId="10" priority="8" stopIfTrue="1" operator="equal">
      <formula>2</formula>
    </cfRule>
  </conditionalFormatting>
  <conditionalFormatting sqref="AD29:AF31 BC29:BE31">
    <cfRule type="expression" dxfId="9" priority="9" stopIfTrue="1">
      <formula>SUM($Q$42:$S$44)=eight</formula>
    </cfRule>
  </conditionalFormatting>
  <conditionalFormatting sqref="AG29:AI31 BF29:BH31">
    <cfRule type="expression" dxfId="8" priority="10" stopIfTrue="1">
      <formula>SUM($T$42:$V$44)=eight</formula>
    </cfRule>
  </conditionalFormatting>
  <conditionalFormatting sqref="AJ29:AL31 BI29:BK31">
    <cfRule type="expression" dxfId="7" priority="11" stopIfTrue="1">
      <formula>SUM($W$42:$Y$44)=eight</formula>
    </cfRule>
  </conditionalFormatting>
  <conditionalFormatting sqref="AD32:AF34 BC32:BE34 BC36">
    <cfRule type="expression" dxfId="6" priority="12" stopIfTrue="1">
      <formula>SUM($Q$45:$S$47)=eight</formula>
    </cfRule>
  </conditionalFormatting>
  <conditionalFormatting sqref="AG32:AI34 BF32:BH34">
    <cfRule type="expression" dxfId="5" priority="13" stopIfTrue="1">
      <formula>SUM($T$45:$V$47)=eight</formula>
    </cfRule>
  </conditionalFormatting>
  <conditionalFormatting sqref="AJ32:AL34 BI32:BK34">
    <cfRule type="expression" dxfId="4" priority="14" stopIfTrue="1">
      <formula>SUM($W$45:$Y$47)=eight</formula>
    </cfRule>
  </conditionalFormatting>
  <conditionalFormatting sqref="AD35:AF37 AO32:AQ34 BR73:BT75 BN30:BP32 CN20:CP22">
    <cfRule type="expression" dxfId="3" priority="15" stopIfTrue="1">
      <formula>SUM($Q$48:$S$50)=eight</formula>
    </cfRule>
  </conditionalFormatting>
  <conditionalFormatting sqref="AG35:AI37 BD35:BH37 BC35 BC37">
    <cfRule type="expression" dxfId="2" priority="16" stopIfTrue="1">
      <formula>SUM($T$48:$V$50)=eight</formula>
    </cfRule>
  </conditionalFormatting>
  <conditionalFormatting sqref="AJ35:AL37 BI35:BK37">
    <cfRule type="expression" dxfId="1" priority="17" stopIfTrue="1">
      <formula>SUM($W$48:$Y$50)=eight</formula>
    </cfRule>
  </conditionalFormatting>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M80"/>
  <sheetViews>
    <sheetView workbookViewId="0"/>
  </sheetViews>
  <sheetFormatPr baseColWidth="10" defaultRowHeight="12.75" x14ac:dyDescent="0.2"/>
  <cols>
    <col min="1" max="253" width="3.5703125" customWidth="1"/>
  </cols>
  <sheetData>
    <row r="1" spans="1:39" ht="15" x14ac:dyDescent="0.2">
      <c r="A1" s="26"/>
      <c r="B1" s="39"/>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row>
    <row r="2" spans="1:39" ht="15" x14ac:dyDescent="0.2">
      <c r="A2" s="26"/>
      <c r="B2" s="39" t="s">
        <v>108</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row>
    <row r="3" spans="1:39" ht="13.5" thickBot="1" x14ac:dyDescent="0.2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row>
    <row r="4" spans="1:39" x14ac:dyDescent="0.2">
      <c r="A4" s="26"/>
      <c r="B4" s="29">
        <v>1</v>
      </c>
      <c r="C4" s="30">
        <v>2</v>
      </c>
      <c r="D4" s="31">
        <v>4</v>
      </c>
      <c r="E4" s="29">
        <v>5</v>
      </c>
      <c r="F4" s="30">
        <v>8</v>
      </c>
      <c r="G4" s="31">
        <v>7</v>
      </c>
      <c r="H4" s="29">
        <v>9</v>
      </c>
      <c r="I4" s="30">
        <v>3</v>
      </c>
      <c r="J4" s="152"/>
      <c r="K4" s="26"/>
      <c r="L4" s="28" t="s">
        <v>94</v>
      </c>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row>
    <row r="5" spans="1:39" x14ac:dyDescent="0.2">
      <c r="A5" s="26"/>
      <c r="B5" s="32"/>
      <c r="C5" s="33"/>
      <c r="D5" s="34"/>
      <c r="E5" s="32"/>
      <c r="F5" s="33"/>
      <c r="G5" s="34"/>
      <c r="H5" s="32"/>
      <c r="I5" s="33"/>
      <c r="J5" s="34"/>
      <c r="K5" s="26"/>
      <c r="L5" s="221" t="s">
        <v>105</v>
      </c>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6"/>
      <c r="AM5" s="26"/>
    </row>
    <row r="6" spans="1:39" ht="13.5" thickBot="1" x14ac:dyDescent="0.25">
      <c r="A6" s="26"/>
      <c r="B6" s="35"/>
      <c r="C6" s="36"/>
      <c r="D6" s="37"/>
      <c r="E6" s="35"/>
      <c r="F6" s="36"/>
      <c r="G6" s="37"/>
      <c r="H6" s="35"/>
      <c r="I6" s="36"/>
      <c r="J6" s="37"/>
      <c r="K6" s="26"/>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6"/>
      <c r="AM6" s="26"/>
    </row>
    <row r="7" spans="1:39" x14ac:dyDescent="0.2">
      <c r="A7" s="26"/>
      <c r="B7" s="29"/>
      <c r="C7" s="30"/>
      <c r="D7" s="31"/>
      <c r="E7" s="29"/>
      <c r="F7" s="30"/>
      <c r="G7" s="31"/>
      <c r="H7" s="29"/>
      <c r="I7" s="30"/>
      <c r="J7" s="31"/>
      <c r="K7" s="26"/>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6"/>
      <c r="AM7" s="26"/>
    </row>
    <row r="8" spans="1:39" x14ac:dyDescent="0.2">
      <c r="A8" s="26"/>
      <c r="B8" s="32"/>
      <c r="C8" s="33"/>
      <c r="D8" s="34"/>
      <c r="E8" s="32"/>
      <c r="F8" s="33"/>
      <c r="G8" s="34"/>
      <c r="H8" s="32"/>
      <c r="I8" s="33"/>
      <c r="J8" s="34"/>
      <c r="K8" s="26"/>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6"/>
      <c r="AM8" s="26"/>
    </row>
    <row r="9" spans="1:39" ht="13.5" thickBot="1" x14ac:dyDescent="0.25">
      <c r="A9" s="26"/>
      <c r="B9" s="35"/>
      <c r="C9" s="36"/>
      <c r="D9" s="37"/>
      <c r="E9" s="35"/>
      <c r="F9" s="36"/>
      <c r="G9" s="37"/>
      <c r="H9" s="35"/>
      <c r="I9" s="36"/>
      <c r="J9" s="37"/>
      <c r="K9" s="26"/>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6"/>
      <c r="AM9" s="26"/>
    </row>
    <row r="10" spans="1:39" x14ac:dyDescent="0.2">
      <c r="A10" s="26"/>
      <c r="B10" s="29"/>
      <c r="C10" s="30"/>
      <c r="D10" s="31"/>
      <c r="E10" s="29"/>
      <c r="F10" s="30"/>
      <c r="G10" s="31"/>
      <c r="H10" s="29"/>
      <c r="I10" s="30"/>
      <c r="J10" s="31"/>
      <c r="K10" s="26"/>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6"/>
      <c r="AM10" s="26"/>
    </row>
    <row r="11" spans="1:39" x14ac:dyDescent="0.2">
      <c r="A11" s="26"/>
      <c r="B11" s="32"/>
      <c r="C11" s="33"/>
      <c r="D11" s="34"/>
      <c r="E11" s="32"/>
      <c r="F11" s="33"/>
      <c r="G11" s="34"/>
      <c r="H11" s="32"/>
      <c r="I11" s="33"/>
      <c r="J11" s="34"/>
      <c r="K11" s="26"/>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6"/>
      <c r="AM11" s="26"/>
    </row>
    <row r="12" spans="1:39" ht="13.5" thickBot="1" x14ac:dyDescent="0.25">
      <c r="A12" s="26"/>
      <c r="B12" s="35"/>
      <c r="C12" s="36"/>
      <c r="D12" s="37"/>
      <c r="E12" s="35"/>
      <c r="F12" s="36"/>
      <c r="G12" s="37"/>
      <c r="H12" s="35"/>
      <c r="I12" s="36"/>
      <c r="J12" s="37"/>
      <c r="K12" s="26"/>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6"/>
      <c r="AM12" s="26"/>
    </row>
    <row r="13" spans="1:39" x14ac:dyDescent="0.2">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row>
    <row r="14" spans="1:39" ht="13.5" thickBot="1" x14ac:dyDescent="0.25">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row>
    <row r="15" spans="1:39" x14ac:dyDescent="0.2">
      <c r="A15" s="26"/>
      <c r="B15" s="29"/>
      <c r="C15" s="30"/>
      <c r="D15" s="31"/>
      <c r="E15" s="29"/>
      <c r="F15" s="30"/>
      <c r="G15" s="31"/>
      <c r="H15" s="29">
        <v>7</v>
      </c>
      <c r="I15" s="30">
        <v>8</v>
      </c>
      <c r="J15" s="122"/>
      <c r="K15" s="26"/>
      <c r="L15" s="28" t="s">
        <v>95</v>
      </c>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row>
    <row r="16" spans="1:39" x14ac:dyDescent="0.2">
      <c r="A16" s="26"/>
      <c r="B16" s="123">
        <v>1</v>
      </c>
      <c r="C16" s="124"/>
      <c r="D16" s="125"/>
      <c r="E16" s="123"/>
      <c r="F16" s="124"/>
      <c r="G16" s="125"/>
      <c r="H16" s="123"/>
      <c r="I16" s="124"/>
      <c r="J16" s="125"/>
      <c r="K16" s="26"/>
      <c r="L16" s="221" t="s">
        <v>102</v>
      </c>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6"/>
      <c r="AM16" s="26"/>
    </row>
    <row r="17" spans="1:39" ht="13.5" thickBot="1" x14ac:dyDescent="0.25">
      <c r="A17" s="26"/>
      <c r="B17" s="126"/>
      <c r="C17" s="127"/>
      <c r="D17" s="128"/>
      <c r="E17" s="126"/>
      <c r="F17" s="127">
        <v>1</v>
      </c>
      <c r="G17" s="128"/>
      <c r="H17" s="126"/>
      <c r="I17" s="127"/>
      <c r="J17" s="128"/>
      <c r="K17" s="26"/>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6"/>
      <c r="AM17" s="26"/>
    </row>
    <row r="18" spans="1:39" x14ac:dyDescent="0.2">
      <c r="A18" s="26"/>
      <c r="B18" s="29"/>
      <c r="C18" s="30"/>
      <c r="D18" s="31"/>
      <c r="E18" s="29"/>
      <c r="F18" s="30"/>
      <c r="G18" s="31"/>
      <c r="H18" s="29"/>
      <c r="I18" s="30"/>
      <c r="J18" s="31"/>
      <c r="K18" s="26"/>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6"/>
      <c r="AM18" s="26"/>
    </row>
    <row r="19" spans="1:39" x14ac:dyDescent="0.2">
      <c r="A19" s="26"/>
      <c r="B19" s="32"/>
      <c r="C19" s="33"/>
      <c r="D19" s="34"/>
      <c r="E19" s="32"/>
      <c r="F19" s="33"/>
      <c r="G19" s="34"/>
      <c r="H19" s="32"/>
      <c r="I19" s="33"/>
      <c r="J19" s="34"/>
      <c r="K19" s="26"/>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6"/>
      <c r="AM19" s="26"/>
    </row>
    <row r="20" spans="1:39" ht="13.5" thickBot="1" x14ac:dyDescent="0.25">
      <c r="A20" s="26"/>
      <c r="B20" s="35"/>
      <c r="C20" s="36"/>
      <c r="D20" s="37"/>
      <c r="E20" s="35"/>
      <c r="F20" s="36"/>
      <c r="G20" s="37"/>
      <c r="H20" s="35"/>
      <c r="I20" s="36"/>
      <c r="J20" s="37"/>
      <c r="K20" s="26"/>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6"/>
      <c r="AM20" s="26"/>
    </row>
    <row r="21" spans="1:39" x14ac:dyDescent="0.2">
      <c r="A21" s="26"/>
      <c r="B21" s="29"/>
      <c r="C21" s="30"/>
      <c r="D21" s="31"/>
      <c r="E21" s="29"/>
      <c r="F21" s="30"/>
      <c r="G21" s="31"/>
      <c r="H21" s="29"/>
      <c r="I21" s="30"/>
      <c r="J21" s="31"/>
      <c r="K21" s="26"/>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6"/>
      <c r="AM21" s="26"/>
    </row>
    <row r="22" spans="1:39" x14ac:dyDescent="0.2">
      <c r="A22" s="26"/>
      <c r="B22" s="32"/>
      <c r="C22" s="33"/>
      <c r="D22" s="34"/>
      <c r="E22" s="32"/>
      <c r="F22" s="33"/>
      <c r="G22" s="34"/>
      <c r="H22" s="32"/>
      <c r="I22" s="33"/>
      <c r="J22" s="34"/>
      <c r="K22" s="26"/>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6"/>
      <c r="AM22" s="26"/>
    </row>
    <row r="23" spans="1:39" ht="13.5" thickBot="1" x14ac:dyDescent="0.25">
      <c r="A23" s="26"/>
      <c r="B23" s="35"/>
      <c r="C23" s="36"/>
      <c r="D23" s="37"/>
      <c r="E23" s="35"/>
      <c r="F23" s="36"/>
      <c r="G23" s="37"/>
      <c r="H23" s="35"/>
      <c r="I23" s="36"/>
      <c r="J23" s="37"/>
      <c r="K23" s="26"/>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6"/>
      <c r="AM23" s="26"/>
    </row>
    <row r="24" spans="1:39" x14ac:dyDescent="0.2">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row>
    <row r="25" spans="1:39" ht="13.5" thickBot="1" x14ac:dyDescent="0.25">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row>
    <row r="26" spans="1:39" x14ac:dyDescent="0.2">
      <c r="A26" s="26"/>
      <c r="B26" s="29"/>
      <c r="C26" s="30"/>
      <c r="D26" s="31"/>
      <c r="E26" s="29"/>
      <c r="F26" s="30"/>
      <c r="G26" s="31"/>
      <c r="H26" s="129"/>
      <c r="I26" s="30">
        <v>8</v>
      </c>
      <c r="J26" s="122"/>
      <c r="K26" s="26"/>
      <c r="L26" s="28" t="s">
        <v>96</v>
      </c>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row>
    <row r="27" spans="1:39" x14ac:dyDescent="0.2">
      <c r="A27" s="26"/>
      <c r="B27" s="123">
        <v>1</v>
      </c>
      <c r="C27" s="124"/>
      <c r="D27" s="125"/>
      <c r="E27" s="123"/>
      <c r="F27" s="124"/>
      <c r="G27" s="125"/>
      <c r="H27" s="123"/>
      <c r="I27" s="124"/>
      <c r="J27" s="125"/>
      <c r="K27" s="26"/>
      <c r="L27" s="221" t="s">
        <v>104</v>
      </c>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6"/>
      <c r="AM27" s="26"/>
    </row>
    <row r="28" spans="1:39" ht="13.5" thickBot="1" x14ac:dyDescent="0.25">
      <c r="A28" s="26"/>
      <c r="B28" s="126"/>
      <c r="C28" s="127"/>
      <c r="D28" s="128"/>
      <c r="E28" s="126"/>
      <c r="F28" s="127">
        <v>1</v>
      </c>
      <c r="G28" s="128"/>
      <c r="H28" s="126"/>
      <c r="I28" s="127"/>
      <c r="J28" s="128"/>
      <c r="K28" s="26"/>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6"/>
      <c r="AM28" s="26"/>
    </row>
    <row r="29" spans="1:39" x14ac:dyDescent="0.2">
      <c r="A29" s="26"/>
      <c r="B29" s="29"/>
      <c r="C29" s="30"/>
      <c r="D29" s="31"/>
      <c r="E29" s="29"/>
      <c r="F29" s="30"/>
      <c r="G29" s="31"/>
      <c r="H29" s="129"/>
      <c r="I29" s="30"/>
      <c r="J29" s="31"/>
      <c r="K29" s="26"/>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6"/>
      <c r="AM29" s="26"/>
    </row>
    <row r="30" spans="1:39" x14ac:dyDescent="0.2">
      <c r="A30" s="26"/>
      <c r="B30" s="32"/>
      <c r="C30" s="33"/>
      <c r="D30" s="34"/>
      <c r="E30" s="32"/>
      <c r="F30" s="33"/>
      <c r="G30" s="34"/>
      <c r="H30" s="123">
        <v>1</v>
      </c>
      <c r="I30" s="33"/>
      <c r="J30" s="34"/>
      <c r="K30" s="26"/>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6"/>
      <c r="AM30" s="26"/>
    </row>
    <row r="31" spans="1:39" ht="13.5" thickBot="1" x14ac:dyDescent="0.25">
      <c r="A31" s="26"/>
      <c r="B31" s="35"/>
      <c r="C31" s="36"/>
      <c r="D31" s="37"/>
      <c r="E31" s="35"/>
      <c r="F31" s="36"/>
      <c r="G31" s="37"/>
      <c r="H31" s="126"/>
      <c r="I31" s="36"/>
      <c r="J31" s="37"/>
      <c r="K31" s="26"/>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6"/>
      <c r="AM31" s="26"/>
    </row>
    <row r="32" spans="1:39" x14ac:dyDescent="0.2">
      <c r="A32" s="26"/>
      <c r="B32" s="29"/>
      <c r="C32" s="30"/>
      <c r="D32" s="31"/>
      <c r="E32" s="29"/>
      <c r="F32" s="30"/>
      <c r="G32" s="31"/>
      <c r="H32" s="129"/>
      <c r="I32" s="30"/>
      <c r="J32" s="31"/>
      <c r="K32" s="26"/>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6"/>
      <c r="AM32" s="26"/>
    </row>
    <row r="33" spans="1:39" x14ac:dyDescent="0.2">
      <c r="A33" s="26"/>
      <c r="B33" s="32"/>
      <c r="C33" s="33"/>
      <c r="D33" s="34"/>
      <c r="E33" s="32"/>
      <c r="F33" s="33"/>
      <c r="G33" s="34"/>
      <c r="H33" s="123"/>
      <c r="I33" s="33"/>
      <c r="J33" s="34"/>
      <c r="K33" s="26"/>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6"/>
      <c r="AM33" s="26"/>
    </row>
    <row r="34" spans="1:39" ht="13.5" thickBot="1" x14ac:dyDescent="0.25">
      <c r="A34" s="26"/>
      <c r="B34" s="35"/>
      <c r="C34" s="36"/>
      <c r="D34" s="37"/>
      <c r="E34" s="35"/>
      <c r="F34" s="36"/>
      <c r="G34" s="37"/>
      <c r="H34" s="126"/>
      <c r="I34" s="36"/>
      <c r="J34" s="37"/>
      <c r="K34" s="26"/>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6"/>
      <c r="AM34" s="26"/>
    </row>
    <row r="35" spans="1:39" x14ac:dyDescent="0.2">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row>
    <row r="36" spans="1:39" ht="13.5" thickBot="1" x14ac:dyDescent="0.25">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row>
    <row r="37" spans="1:39" x14ac:dyDescent="0.2">
      <c r="A37" s="26"/>
      <c r="B37" s="129"/>
      <c r="C37" s="130">
        <v>2</v>
      </c>
      <c r="D37" s="131">
        <v>3</v>
      </c>
      <c r="E37" s="129"/>
      <c r="F37" s="130"/>
      <c r="G37" s="131"/>
      <c r="H37" s="129"/>
      <c r="I37" s="130"/>
      <c r="J37" s="131">
        <v>1</v>
      </c>
      <c r="K37" s="26"/>
      <c r="L37" s="28" t="s">
        <v>97</v>
      </c>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row>
    <row r="38" spans="1:39" x14ac:dyDescent="0.2">
      <c r="A38" s="26"/>
      <c r="B38" s="137"/>
      <c r="C38" s="140">
        <v>1</v>
      </c>
      <c r="D38" s="141">
        <v>1</v>
      </c>
      <c r="E38" s="137"/>
      <c r="F38" s="138"/>
      <c r="G38" s="139"/>
      <c r="H38" s="137"/>
      <c r="I38" s="138"/>
      <c r="J38" s="139"/>
      <c r="K38" s="26"/>
      <c r="L38" s="221" t="s">
        <v>106</v>
      </c>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6"/>
      <c r="AM38" s="26"/>
    </row>
    <row r="39" spans="1:39" ht="13.5" thickBot="1" x14ac:dyDescent="0.25">
      <c r="A39" s="26"/>
      <c r="B39" s="126"/>
      <c r="C39" s="36">
        <v>4</v>
      </c>
      <c r="D39" s="37">
        <v>5</v>
      </c>
      <c r="E39" s="35">
        <v>6</v>
      </c>
      <c r="F39" s="36">
        <v>7</v>
      </c>
      <c r="G39" s="132"/>
      <c r="H39" s="35"/>
      <c r="I39" s="36"/>
      <c r="J39" s="37"/>
      <c r="K39" s="26"/>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6"/>
      <c r="AM39" s="26"/>
    </row>
    <row r="40" spans="1:39" x14ac:dyDescent="0.2">
      <c r="A40" s="26"/>
      <c r="B40" s="129"/>
      <c r="C40" s="30"/>
      <c r="D40" s="31"/>
      <c r="E40" s="29"/>
      <c r="F40" s="30"/>
      <c r="G40" s="31"/>
      <c r="H40" s="29"/>
      <c r="I40" s="30"/>
      <c r="J40" s="31"/>
      <c r="K40" s="26"/>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6"/>
      <c r="AM40" s="26"/>
    </row>
    <row r="41" spans="1:39" x14ac:dyDescent="0.2">
      <c r="A41" s="26"/>
      <c r="B41" s="123"/>
      <c r="C41" s="33"/>
      <c r="D41" s="34"/>
      <c r="E41" s="32"/>
      <c r="F41" s="33"/>
      <c r="G41" s="34"/>
      <c r="H41" s="32"/>
      <c r="I41" s="33"/>
      <c r="J41" s="34"/>
      <c r="K41" s="26"/>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6"/>
      <c r="AM41" s="26"/>
    </row>
    <row r="42" spans="1:39" ht="13.5" thickBot="1" x14ac:dyDescent="0.25">
      <c r="A42" s="26"/>
      <c r="B42" s="126"/>
      <c r="C42" s="36"/>
      <c r="D42" s="37"/>
      <c r="E42" s="35"/>
      <c r="F42" s="36"/>
      <c r="G42" s="37"/>
      <c r="H42" s="35"/>
      <c r="I42" s="36"/>
      <c r="J42" s="37"/>
      <c r="K42" s="26"/>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6"/>
      <c r="AM42" s="26"/>
    </row>
    <row r="43" spans="1:39" x14ac:dyDescent="0.2">
      <c r="A43" s="26"/>
      <c r="B43" s="129"/>
      <c r="C43" s="30"/>
      <c r="D43" s="31"/>
      <c r="E43" s="29"/>
      <c r="F43" s="30"/>
      <c r="G43" s="31"/>
      <c r="H43" s="29"/>
      <c r="I43" s="30"/>
      <c r="J43" s="31"/>
      <c r="K43" s="26"/>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6"/>
      <c r="AM43" s="26"/>
    </row>
    <row r="44" spans="1:39" x14ac:dyDescent="0.2">
      <c r="A44" s="26"/>
      <c r="B44" s="123"/>
      <c r="C44" s="33"/>
      <c r="D44" s="34"/>
      <c r="E44" s="32"/>
      <c r="F44" s="33"/>
      <c r="G44" s="34"/>
      <c r="H44" s="32"/>
      <c r="I44" s="33"/>
      <c r="J44" s="34"/>
      <c r="K44" s="26"/>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6"/>
      <c r="AM44" s="26"/>
    </row>
    <row r="45" spans="1:39" ht="13.5" thickBot="1" x14ac:dyDescent="0.25">
      <c r="A45" s="26"/>
      <c r="B45" s="126">
        <v>1</v>
      </c>
      <c r="C45" s="36"/>
      <c r="D45" s="37"/>
      <c r="E45" s="35"/>
      <c r="F45" s="36"/>
      <c r="G45" s="37"/>
      <c r="H45" s="35"/>
      <c r="I45" s="36"/>
      <c r="J45" s="37"/>
      <c r="K45" s="26"/>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6"/>
      <c r="AM45" s="26"/>
    </row>
    <row r="46" spans="1:39" x14ac:dyDescent="0.2">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row>
    <row r="47" spans="1:39" ht="13.5" thickBot="1" x14ac:dyDescent="0.2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row>
    <row r="48" spans="1:39" x14ac:dyDescent="0.2">
      <c r="A48" s="26"/>
      <c r="B48" s="29"/>
      <c r="C48" s="30">
        <v>1</v>
      </c>
      <c r="D48" s="31"/>
      <c r="E48" s="29"/>
      <c r="F48" s="30"/>
      <c r="G48" s="31"/>
      <c r="H48" s="29"/>
      <c r="I48" s="30"/>
      <c r="J48" s="31"/>
      <c r="K48" s="26"/>
      <c r="L48" s="28" t="s">
        <v>97</v>
      </c>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row>
    <row r="49" spans="1:39" x14ac:dyDescent="0.2">
      <c r="A49" s="26"/>
      <c r="B49" s="32"/>
      <c r="C49" s="33"/>
      <c r="D49" s="34"/>
      <c r="E49" s="32"/>
      <c r="F49" s="33"/>
      <c r="G49" s="34"/>
      <c r="H49" s="32"/>
      <c r="I49" s="33"/>
      <c r="J49" s="34"/>
      <c r="K49" s="26"/>
      <c r="L49" s="221" t="s">
        <v>107</v>
      </c>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6"/>
      <c r="AM49" s="26"/>
    </row>
    <row r="50" spans="1:39" ht="13.5" thickBot="1" x14ac:dyDescent="0.25">
      <c r="A50" s="26"/>
      <c r="B50" s="35"/>
      <c r="C50" s="36"/>
      <c r="D50" s="37"/>
      <c r="E50" s="35"/>
      <c r="F50" s="36"/>
      <c r="G50" s="37"/>
      <c r="H50" s="35"/>
      <c r="I50" s="36"/>
      <c r="J50" s="37"/>
      <c r="K50" s="26"/>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6"/>
      <c r="AM50" s="26"/>
    </row>
    <row r="51" spans="1:39" x14ac:dyDescent="0.2">
      <c r="A51" s="26"/>
      <c r="B51" s="29"/>
      <c r="C51" s="30"/>
      <c r="D51" s="31"/>
      <c r="E51" s="29"/>
      <c r="F51" s="30"/>
      <c r="G51" s="31"/>
      <c r="H51" s="29"/>
      <c r="I51" s="30"/>
      <c r="J51" s="31"/>
      <c r="K51" s="26"/>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6"/>
      <c r="AM51" s="26"/>
    </row>
    <row r="52" spans="1:39" x14ac:dyDescent="0.2">
      <c r="A52" s="26"/>
      <c r="B52" s="32"/>
      <c r="C52" s="133"/>
      <c r="D52" s="34"/>
      <c r="E52" s="32">
        <v>2</v>
      </c>
      <c r="F52" s="33">
        <v>3</v>
      </c>
      <c r="G52" s="34">
        <v>4</v>
      </c>
      <c r="H52" s="32">
        <v>5</v>
      </c>
      <c r="I52" s="33">
        <v>6</v>
      </c>
      <c r="J52" s="34">
        <v>7</v>
      </c>
      <c r="K52" s="26"/>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6"/>
      <c r="AM52" s="26"/>
    </row>
    <row r="53" spans="1:39" ht="13.5" thickBot="1" x14ac:dyDescent="0.25">
      <c r="A53" s="26"/>
      <c r="B53" s="35"/>
      <c r="C53" s="36"/>
      <c r="D53" s="37"/>
      <c r="E53" s="35"/>
      <c r="F53" s="36"/>
      <c r="G53" s="37"/>
      <c r="H53" s="35"/>
      <c r="I53" s="36"/>
      <c r="J53" s="37"/>
      <c r="K53" s="26"/>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6"/>
      <c r="AM53" s="26"/>
    </row>
    <row r="54" spans="1:39" x14ac:dyDescent="0.2">
      <c r="A54" s="26"/>
      <c r="B54" s="29"/>
      <c r="C54" s="30"/>
      <c r="D54" s="31"/>
      <c r="E54" s="29"/>
      <c r="F54" s="30"/>
      <c r="G54" s="31"/>
      <c r="H54" s="29"/>
      <c r="I54" s="30"/>
      <c r="J54" s="31"/>
      <c r="K54" s="26"/>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6"/>
      <c r="AM54" s="26"/>
    </row>
    <row r="55" spans="1:39" x14ac:dyDescent="0.2">
      <c r="A55" s="26"/>
      <c r="B55" s="32"/>
      <c r="C55" s="33"/>
      <c r="D55" s="34"/>
      <c r="E55" s="32"/>
      <c r="F55" s="33"/>
      <c r="G55" s="34"/>
      <c r="H55" s="32"/>
      <c r="I55" s="33"/>
      <c r="J55" s="34"/>
      <c r="K55" s="26"/>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K55" s="221"/>
      <c r="AL55" s="26"/>
      <c r="AM55" s="26"/>
    </row>
    <row r="56" spans="1:39" ht="13.5" thickBot="1" x14ac:dyDescent="0.25">
      <c r="A56" s="26"/>
      <c r="B56" s="35"/>
      <c r="C56" s="36">
        <v>9</v>
      </c>
      <c r="D56" s="37"/>
      <c r="E56" s="35"/>
      <c r="F56" s="36"/>
      <c r="G56" s="37"/>
      <c r="H56" s="35"/>
      <c r="I56" s="36"/>
      <c r="J56" s="37"/>
      <c r="K56" s="26"/>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K56" s="221"/>
      <c r="AL56" s="26"/>
      <c r="AM56" s="26"/>
    </row>
    <row r="57" spans="1:39" x14ac:dyDescent="0.2">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row>
    <row r="58" spans="1:39" ht="13.5" thickBot="1" x14ac:dyDescent="0.25">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row>
    <row r="59" spans="1:39" x14ac:dyDescent="0.2">
      <c r="A59" s="26"/>
      <c r="B59" s="129"/>
      <c r="C59" s="142"/>
      <c r="D59" s="131"/>
      <c r="E59" s="144"/>
      <c r="F59" s="130">
        <v>2</v>
      </c>
      <c r="G59" s="143">
        <v>3</v>
      </c>
      <c r="H59" s="129"/>
      <c r="I59" s="142"/>
      <c r="J59" s="131">
        <v>1</v>
      </c>
      <c r="K59" s="26"/>
      <c r="L59" s="28" t="s">
        <v>99</v>
      </c>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row>
    <row r="60" spans="1:39" x14ac:dyDescent="0.2">
      <c r="A60" s="26"/>
      <c r="B60" s="137"/>
      <c r="C60" s="138">
        <v>4</v>
      </c>
      <c r="D60" s="139">
        <v>5</v>
      </c>
      <c r="E60" s="137"/>
      <c r="F60" s="138"/>
      <c r="G60" s="139">
        <v>1</v>
      </c>
      <c r="H60" s="137"/>
      <c r="I60" s="138"/>
      <c r="J60" s="139"/>
      <c r="K60" s="26"/>
      <c r="L60" s="221" t="s">
        <v>103</v>
      </c>
      <c r="M60" s="221"/>
      <c r="N60" s="221"/>
      <c r="O60" s="221"/>
      <c r="P60" s="221"/>
      <c r="Q60" s="221"/>
      <c r="R60" s="221"/>
      <c r="S60" s="221"/>
      <c r="T60" s="221"/>
      <c r="U60" s="221"/>
      <c r="V60" s="221"/>
      <c r="W60" s="221"/>
      <c r="X60" s="221"/>
      <c r="Y60" s="221"/>
      <c r="Z60" s="221"/>
      <c r="AA60" s="221"/>
      <c r="AB60" s="221"/>
      <c r="AC60" s="221"/>
      <c r="AD60" s="221"/>
      <c r="AE60" s="221"/>
      <c r="AF60" s="221"/>
      <c r="AG60" s="221"/>
      <c r="AH60" s="221"/>
      <c r="AI60" s="221"/>
      <c r="AJ60" s="221"/>
      <c r="AK60" s="221"/>
      <c r="AL60" s="26"/>
      <c r="AM60" s="26"/>
    </row>
    <row r="61" spans="1:39" ht="13.5" thickBot="1" x14ac:dyDescent="0.25">
      <c r="A61" s="26"/>
      <c r="B61" s="134"/>
      <c r="C61" s="135" t="s">
        <v>98</v>
      </c>
      <c r="D61" s="136" t="s">
        <v>98</v>
      </c>
      <c r="E61" s="35"/>
      <c r="F61" s="36"/>
      <c r="G61" s="37"/>
      <c r="H61" s="35"/>
      <c r="I61" s="36"/>
      <c r="J61" s="37"/>
      <c r="K61" s="26"/>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221"/>
      <c r="AJ61" s="221"/>
      <c r="AK61" s="221"/>
      <c r="AL61" s="26"/>
      <c r="AM61" s="26"/>
    </row>
    <row r="62" spans="1:39" x14ac:dyDescent="0.2">
      <c r="A62" s="26"/>
      <c r="B62" s="129"/>
      <c r="C62" s="30"/>
      <c r="D62" s="31"/>
      <c r="E62" s="29"/>
      <c r="F62" s="30"/>
      <c r="G62" s="31"/>
      <c r="H62" s="29"/>
      <c r="I62" s="30"/>
      <c r="J62" s="31"/>
      <c r="K62" s="26"/>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6"/>
      <c r="AM62" s="26"/>
    </row>
    <row r="63" spans="1:39" x14ac:dyDescent="0.2">
      <c r="A63" s="26"/>
      <c r="B63" s="123">
        <v>2</v>
      </c>
      <c r="C63" s="33"/>
      <c r="D63" s="34"/>
      <c r="E63" s="32"/>
      <c r="F63" s="33"/>
      <c r="G63" s="34"/>
      <c r="H63" s="32"/>
      <c r="I63" s="33"/>
      <c r="J63" s="34"/>
      <c r="K63" s="26"/>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21"/>
      <c r="AI63" s="221"/>
      <c r="AJ63" s="221"/>
      <c r="AK63" s="221"/>
      <c r="AL63" s="26"/>
      <c r="AM63" s="26"/>
    </row>
    <row r="64" spans="1:39" ht="13.5" thickBot="1" x14ac:dyDescent="0.25">
      <c r="A64" s="26"/>
      <c r="B64" s="126"/>
      <c r="C64" s="36"/>
      <c r="D64" s="37"/>
      <c r="E64" s="35"/>
      <c r="F64" s="36"/>
      <c r="G64" s="37"/>
      <c r="H64" s="35"/>
      <c r="I64" s="36"/>
      <c r="J64" s="37"/>
      <c r="K64" s="26"/>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21"/>
      <c r="AL64" s="26"/>
      <c r="AM64" s="26"/>
    </row>
    <row r="65" spans="1:39" x14ac:dyDescent="0.2">
      <c r="A65" s="26"/>
      <c r="B65" s="129"/>
      <c r="C65" s="30"/>
      <c r="D65" s="31"/>
      <c r="E65" s="29"/>
      <c r="F65" s="30"/>
      <c r="G65" s="31"/>
      <c r="H65" s="29"/>
      <c r="I65" s="30"/>
      <c r="J65" s="31"/>
      <c r="K65" s="26"/>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21"/>
      <c r="AL65" s="26"/>
      <c r="AM65" s="26"/>
    </row>
    <row r="66" spans="1:39" x14ac:dyDescent="0.2">
      <c r="A66" s="26"/>
      <c r="B66" s="123">
        <v>3</v>
      </c>
      <c r="C66" s="33"/>
      <c r="D66" s="34"/>
      <c r="E66" s="32"/>
      <c r="F66" s="33"/>
      <c r="G66" s="34"/>
      <c r="H66" s="32"/>
      <c r="I66" s="33"/>
      <c r="J66" s="34"/>
      <c r="K66" s="26"/>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26"/>
      <c r="AM66" s="26"/>
    </row>
    <row r="67" spans="1:39" ht="13.5" thickBot="1" x14ac:dyDescent="0.25">
      <c r="A67" s="26"/>
      <c r="B67" s="126"/>
      <c r="C67" s="36"/>
      <c r="D67" s="37"/>
      <c r="E67" s="35"/>
      <c r="F67" s="36"/>
      <c r="G67" s="37"/>
      <c r="H67" s="35"/>
      <c r="I67" s="36"/>
      <c r="J67" s="37"/>
      <c r="K67" s="26"/>
      <c r="L67" s="221"/>
      <c r="M67" s="221"/>
      <c r="N67" s="221"/>
      <c r="O67" s="221"/>
      <c r="P67" s="221"/>
      <c r="Q67" s="221"/>
      <c r="R67" s="221"/>
      <c r="S67" s="221"/>
      <c r="T67" s="221"/>
      <c r="U67" s="221"/>
      <c r="V67" s="221"/>
      <c r="W67" s="221"/>
      <c r="X67" s="221"/>
      <c r="Y67" s="221"/>
      <c r="Z67" s="221"/>
      <c r="AA67" s="221"/>
      <c r="AB67" s="221"/>
      <c r="AC67" s="221"/>
      <c r="AD67" s="221"/>
      <c r="AE67" s="221"/>
      <c r="AF67" s="221"/>
      <c r="AG67" s="221"/>
      <c r="AH67" s="221"/>
      <c r="AI67" s="221"/>
      <c r="AJ67" s="221"/>
      <c r="AK67" s="221"/>
      <c r="AL67" s="26"/>
      <c r="AM67" s="26"/>
    </row>
    <row r="68" spans="1:39" x14ac:dyDescent="0.2">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row>
    <row r="69" spans="1:39" ht="13.5" thickBot="1"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row>
    <row r="70" spans="1:39" x14ac:dyDescent="0.2">
      <c r="A70" s="26"/>
      <c r="B70" s="29"/>
      <c r="C70" s="30"/>
      <c r="D70" s="31">
        <v>7</v>
      </c>
      <c r="E70" s="29">
        <v>8</v>
      </c>
      <c r="F70" s="146">
        <v>6</v>
      </c>
      <c r="G70" s="31">
        <v>4</v>
      </c>
      <c r="H70" s="129">
        <v>3</v>
      </c>
      <c r="I70" s="30"/>
      <c r="J70" s="31"/>
      <c r="K70" s="26"/>
      <c r="L70" s="28" t="s">
        <v>99</v>
      </c>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row>
    <row r="71" spans="1:39" x14ac:dyDescent="0.2">
      <c r="A71" s="26"/>
      <c r="B71" s="32"/>
      <c r="C71" s="33"/>
      <c r="D71" s="34"/>
      <c r="E71" s="32">
        <v>7</v>
      </c>
      <c r="F71" s="147">
        <v>6</v>
      </c>
      <c r="G71" s="34">
        <v>2</v>
      </c>
      <c r="H71" s="123"/>
      <c r="I71" s="33"/>
      <c r="J71" s="34"/>
      <c r="K71" s="26"/>
      <c r="L71" s="221" t="s">
        <v>101</v>
      </c>
      <c r="M71" s="221"/>
      <c r="N71" s="221"/>
      <c r="O71" s="221"/>
      <c r="P71" s="221"/>
      <c r="Q71" s="221"/>
      <c r="R71" s="221"/>
      <c r="S71" s="221"/>
      <c r="T71" s="221"/>
      <c r="U71" s="221"/>
      <c r="V71" s="221"/>
      <c r="W71" s="221"/>
      <c r="X71" s="221"/>
      <c r="Y71" s="221"/>
      <c r="Z71" s="221"/>
      <c r="AA71" s="221"/>
      <c r="AB71" s="221"/>
      <c r="AC71" s="221"/>
      <c r="AD71" s="221"/>
      <c r="AE71" s="221"/>
      <c r="AF71" s="221"/>
      <c r="AG71" s="221"/>
      <c r="AH71" s="221"/>
      <c r="AI71" s="221"/>
      <c r="AJ71" s="221"/>
      <c r="AK71" s="221"/>
      <c r="AL71" s="26"/>
      <c r="AM71" s="26"/>
    </row>
    <row r="72" spans="1:39" ht="13.5" thickBot="1" x14ac:dyDescent="0.25">
      <c r="A72" s="26"/>
      <c r="B72" s="35">
        <v>6</v>
      </c>
      <c r="C72" s="36"/>
      <c r="D72" s="37"/>
      <c r="E72" s="35">
        <v>1</v>
      </c>
      <c r="F72" s="36">
        <v>9</v>
      </c>
      <c r="G72" s="37">
        <v>3</v>
      </c>
      <c r="H72" s="126"/>
      <c r="I72" s="36"/>
      <c r="J72" s="37">
        <v>4</v>
      </c>
      <c r="K72" s="26"/>
      <c r="L72" s="221"/>
      <c r="M72" s="221"/>
      <c r="N72" s="221"/>
      <c r="O72" s="221"/>
      <c r="P72" s="221"/>
      <c r="Q72" s="221"/>
      <c r="R72" s="221"/>
      <c r="S72" s="221"/>
      <c r="T72" s="221"/>
      <c r="U72" s="221"/>
      <c r="V72" s="221"/>
      <c r="W72" s="221"/>
      <c r="X72" s="221"/>
      <c r="Y72" s="221"/>
      <c r="Z72" s="221"/>
      <c r="AA72" s="221"/>
      <c r="AB72" s="221"/>
      <c r="AC72" s="221"/>
      <c r="AD72" s="221"/>
      <c r="AE72" s="221"/>
      <c r="AF72" s="221"/>
      <c r="AG72" s="221"/>
      <c r="AH72" s="221"/>
      <c r="AI72" s="221"/>
      <c r="AJ72" s="221"/>
      <c r="AK72" s="221"/>
      <c r="AL72" s="26"/>
      <c r="AM72" s="26"/>
    </row>
    <row r="73" spans="1:39" x14ac:dyDescent="0.2">
      <c r="A73" s="26"/>
      <c r="B73" s="29">
        <v>5</v>
      </c>
      <c r="C73" s="30">
        <v>7</v>
      </c>
      <c r="D73" s="31"/>
      <c r="E73" s="29">
        <v>2</v>
      </c>
      <c r="F73" s="30">
        <v>3</v>
      </c>
      <c r="G73" s="31">
        <v>1</v>
      </c>
      <c r="H73" s="129"/>
      <c r="I73" s="30">
        <v>4</v>
      </c>
      <c r="J73" s="31">
        <v>9</v>
      </c>
      <c r="K73" s="26"/>
      <c r="L73" s="221"/>
      <c r="M73" s="221"/>
      <c r="N73" s="221"/>
      <c r="O73" s="221"/>
      <c r="P73" s="221"/>
      <c r="Q73" s="221"/>
      <c r="R73" s="221"/>
      <c r="S73" s="221"/>
      <c r="T73" s="221"/>
      <c r="U73" s="221"/>
      <c r="V73" s="221"/>
      <c r="W73" s="221"/>
      <c r="X73" s="221"/>
      <c r="Y73" s="221"/>
      <c r="Z73" s="221"/>
      <c r="AA73" s="221"/>
      <c r="AB73" s="221"/>
      <c r="AC73" s="221"/>
      <c r="AD73" s="221"/>
      <c r="AE73" s="221"/>
      <c r="AF73" s="221"/>
      <c r="AG73" s="221"/>
      <c r="AH73" s="221"/>
      <c r="AI73" s="221"/>
      <c r="AJ73" s="221"/>
      <c r="AK73" s="221"/>
      <c r="AL73" s="26"/>
      <c r="AM73" s="26"/>
    </row>
    <row r="74" spans="1:39" x14ac:dyDescent="0.2">
      <c r="A74" s="26"/>
      <c r="B74" s="32"/>
      <c r="C74" s="33"/>
      <c r="D74" s="34">
        <v>9</v>
      </c>
      <c r="E74" s="32">
        <v>5</v>
      </c>
      <c r="F74" s="33"/>
      <c r="G74" s="34"/>
      <c r="H74" s="123">
        <v>1</v>
      </c>
      <c r="I74" s="33"/>
      <c r="J74" s="34"/>
      <c r="K74" s="26"/>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6"/>
      <c r="AM74" s="26"/>
    </row>
    <row r="75" spans="1:39" ht="13.5" thickBot="1" x14ac:dyDescent="0.25">
      <c r="A75" s="26"/>
      <c r="B75" s="35">
        <v>3</v>
      </c>
      <c r="C75" s="36">
        <v>1</v>
      </c>
      <c r="D75" s="37"/>
      <c r="E75" s="35"/>
      <c r="F75" s="36"/>
      <c r="G75" s="37"/>
      <c r="H75" s="126"/>
      <c r="I75" s="36">
        <v>5</v>
      </c>
      <c r="J75" s="37">
        <v>2</v>
      </c>
      <c r="K75" s="26"/>
      <c r="L75" s="221"/>
      <c r="M75" s="221"/>
      <c r="N75" s="221"/>
      <c r="O75" s="221"/>
      <c r="P75" s="221"/>
      <c r="Q75" s="221"/>
      <c r="R75" s="221"/>
      <c r="S75" s="221"/>
      <c r="T75" s="221"/>
      <c r="U75" s="221"/>
      <c r="V75" s="221"/>
      <c r="W75" s="221"/>
      <c r="X75" s="221"/>
      <c r="Y75" s="221"/>
      <c r="Z75" s="221"/>
      <c r="AA75" s="221"/>
      <c r="AB75" s="221"/>
      <c r="AC75" s="221"/>
      <c r="AD75" s="221"/>
      <c r="AE75" s="221"/>
      <c r="AF75" s="221"/>
      <c r="AG75" s="221"/>
      <c r="AH75" s="221"/>
      <c r="AI75" s="221"/>
      <c r="AJ75" s="221"/>
      <c r="AK75" s="221"/>
      <c r="AL75" s="26"/>
      <c r="AM75" s="26"/>
    </row>
    <row r="76" spans="1:39" x14ac:dyDescent="0.2">
      <c r="A76" s="26"/>
      <c r="B76" s="129">
        <v>7</v>
      </c>
      <c r="C76" s="130"/>
      <c r="D76" s="131"/>
      <c r="E76" s="150" t="s">
        <v>100</v>
      </c>
      <c r="F76" s="130">
        <v>2</v>
      </c>
      <c r="G76" s="151" t="s">
        <v>100</v>
      </c>
      <c r="H76" s="145"/>
      <c r="I76" s="130"/>
      <c r="J76" s="131">
        <v>5</v>
      </c>
      <c r="K76" s="26"/>
      <c r="L76" s="221"/>
      <c r="M76" s="221"/>
      <c r="N76" s="221"/>
      <c r="O76" s="221"/>
      <c r="P76" s="221"/>
      <c r="Q76" s="221"/>
      <c r="R76" s="221"/>
      <c r="S76" s="221"/>
      <c r="T76" s="221"/>
      <c r="U76" s="221"/>
      <c r="V76" s="221"/>
      <c r="W76" s="221"/>
      <c r="X76" s="221"/>
      <c r="Y76" s="221"/>
      <c r="Z76" s="221"/>
      <c r="AA76" s="221"/>
      <c r="AB76" s="221"/>
      <c r="AC76" s="221"/>
      <c r="AD76" s="221"/>
      <c r="AE76" s="221"/>
      <c r="AF76" s="221"/>
      <c r="AG76" s="221"/>
      <c r="AH76" s="221"/>
      <c r="AI76" s="221"/>
      <c r="AJ76" s="221"/>
      <c r="AK76" s="221"/>
      <c r="AL76" s="26"/>
      <c r="AM76" s="26"/>
    </row>
    <row r="77" spans="1:39" x14ac:dyDescent="0.2">
      <c r="A77" s="26"/>
      <c r="B77" s="32"/>
      <c r="C77" s="33"/>
      <c r="D77" s="34"/>
      <c r="E77" s="32">
        <v>4</v>
      </c>
      <c r="F77" s="148"/>
      <c r="G77" s="34">
        <v>7</v>
      </c>
      <c r="H77" s="123"/>
      <c r="I77" s="33"/>
      <c r="J77" s="34"/>
      <c r="K77" s="26"/>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221"/>
      <c r="AL77" s="26"/>
      <c r="AM77" s="26"/>
    </row>
    <row r="78" spans="1:39" ht="13.5" thickBot="1" x14ac:dyDescent="0.25">
      <c r="A78" s="26"/>
      <c r="B78" s="35"/>
      <c r="C78" s="36"/>
      <c r="D78" s="37">
        <v>2</v>
      </c>
      <c r="E78" s="35">
        <v>3</v>
      </c>
      <c r="F78" s="149"/>
      <c r="G78" s="37">
        <v>5</v>
      </c>
      <c r="H78" s="126">
        <v>4</v>
      </c>
      <c r="I78" s="36"/>
      <c r="J78" s="37"/>
      <c r="K78" s="26"/>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1"/>
      <c r="AI78" s="221"/>
      <c r="AJ78" s="221"/>
      <c r="AK78" s="221"/>
      <c r="AL78" s="26"/>
      <c r="AM78" s="26"/>
    </row>
    <row r="79" spans="1:39" x14ac:dyDescent="0.2">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row>
    <row r="80" spans="1:39" x14ac:dyDescent="0.2">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row>
  </sheetData>
  <mergeCells count="7">
    <mergeCell ref="L49:AK56"/>
    <mergeCell ref="L60:AK67"/>
    <mergeCell ref="L71:AK78"/>
    <mergeCell ref="L5:AK12"/>
    <mergeCell ref="L16:AK23"/>
    <mergeCell ref="L27:AK34"/>
    <mergeCell ref="L38:AK45"/>
  </mergeCells>
  <phoneticPr fontId="1" type="noConversion"/>
  <conditionalFormatting sqref="B4:J12 B15:J23 B26:J34 B37:J45 B48:J56 B59:J67 B70:J78">
    <cfRule type="expression" dxfId="0" priority="1" stopIfTrue="1">
      <formula>#REF!=1</formula>
    </cfRule>
  </conditionalFormatting>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38</vt:i4>
      </vt:variant>
    </vt:vector>
  </HeadingPairs>
  <TitlesOfParts>
    <vt:vector size="42" baseType="lpstr">
      <vt:lpstr>Sudoku</vt:lpstr>
      <vt:lpstr>Pruefung</vt:lpstr>
      <vt:lpstr>Anleitung</vt:lpstr>
      <vt:lpstr>Tipps zum Selberlösen</vt:lpstr>
      <vt:lpstr>_col1</vt:lpstr>
      <vt:lpstr>_col2</vt:lpstr>
      <vt:lpstr>_col3</vt:lpstr>
      <vt:lpstr>_col4</vt:lpstr>
      <vt:lpstr>_col5</vt:lpstr>
      <vt:lpstr>_col6</vt:lpstr>
      <vt:lpstr>_col7</vt:lpstr>
      <vt:lpstr>_col8</vt:lpstr>
      <vt:lpstr>_col9</vt:lpstr>
      <vt:lpstr>_row1</vt:lpstr>
      <vt:lpstr>_row2</vt:lpstr>
      <vt:lpstr>_row3</vt:lpstr>
      <vt:lpstr>_row4</vt:lpstr>
      <vt:lpstr>_row5</vt:lpstr>
      <vt:lpstr>_row6</vt:lpstr>
      <vt:lpstr>_row7</vt:lpstr>
      <vt:lpstr>_row8</vt:lpstr>
      <vt:lpstr>_row9</vt:lpstr>
      <vt:lpstr>_sq11</vt:lpstr>
      <vt:lpstr>_sq12</vt:lpstr>
      <vt:lpstr>_sq13</vt:lpstr>
      <vt:lpstr>_sq21</vt:lpstr>
      <vt:lpstr>_sq22</vt:lpstr>
      <vt:lpstr>_sq23</vt:lpstr>
      <vt:lpstr>_sq31</vt:lpstr>
      <vt:lpstr>_sq32</vt:lpstr>
      <vt:lpstr>_sq33</vt:lpstr>
      <vt:lpstr>eight</vt:lpstr>
      <vt:lpstr>five</vt:lpstr>
      <vt:lpstr>four</vt:lpstr>
      <vt:lpstr>nine</vt:lpstr>
      <vt:lpstr>numbers</vt:lpstr>
      <vt:lpstr>one</vt:lpstr>
      <vt:lpstr>seven</vt:lpstr>
      <vt:lpstr>six</vt:lpstr>
      <vt:lpstr>solution</vt:lpstr>
      <vt:lpstr>three</vt:lpstr>
      <vt:lpstr>two</vt:lpstr>
    </vt:vector>
  </TitlesOfParts>
  <Company>Natural Maths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ROPO</dc:creator>
  <cp:lastModifiedBy>roger</cp:lastModifiedBy>
  <dcterms:created xsi:type="dcterms:W3CDTF">2004-12-23T19:52:10Z</dcterms:created>
  <dcterms:modified xsi:type="dcterms:W3CDTF">2017-07-24T09:02:32Z</dcterms:modified>
</cp:coreProperties>
</file>